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Hypothèses" sheetId="2" state="visible" r:id="rId4"/>
    <sheet name="Synthèse" sheetId="3" state="visible" r:id="rId5"/>
    <sheet name="Compte de résultat" sheetId="4" state="visible" r:id="rId6"/>
    <sheet name="Trésorerie" sheetId="5" state="visible" r:id="rId7"/>
    <sheet name="Financement" sheetId="6" state="visible" r:id="rId8"/>
    <sheet name="Bilan" sheetId="7" state="visible" r:id="rId9"/>
    <sheet name="Scénarios" sheetId="8" state="visible" r:id="rId10"/>
    <sheet name="Moteur prudent" sheetId="9" state="visible" r:id="rId11"/>
    <sheet name="Moteur central" sheetId="10" state="visible" r:id="rId12"/>
    <sheet name="Moteur ambitieux" sheetId="11" state="visible" r:id="rId13"/>
  </sheets>
  <definedNames>
    <definedName function="false" hidden="false" localSheetId="10" name="_xlnm.Print_Titles" vbProcedure="false">'Moteur ambitieux'!$A:$B,'Moteur ambitieux'!$4:$7</definedName>
    <definedName function="false" hidden="false" localSheetId="9" name="_xlnm.Print_Titles" vbProcedure="false">'Moteur central'!$A:$B,'Moteur central'!$4:$7</definedName>
    <definedName function="false" hidden="false" localSheetId="8" name="_xlnm.Print_Titles" vbProcedure="false">'Moteur prudent'!$A:$B,'Moteur prudent'!$4:$7</definedName>
    <definedName function="false" hidden="false" localSheetId="4" name="_xlnm.Print_Titles" vbProcedure="false">Trésorerie!$A:$A,Trésorerie!$6:$6</definedName>
    <definedName function="false" hidden="false" name="abonnement_a" vbProcedure="false">Hypothèses!$E$14</definedName>
    <definedName function="false" hidden="false" name="abonnement_c" vbProcedure="false">Hypothèses!$D$14</definedName>
    <definedName function="false" hidden="false" name="abonnement_p" vbProcedure="false">Hypothèses!$C$14</definedName>
    <definedName function="false" hidden="false" name="amenagement" vbProcedure="false">Hypothèses!$C$36</definedName>
    <definedName function="false" hidden="false" name="annee_debut" vbProcedure="false">Hypothèses!$C$22</definedName>
    <definedName function="false" hidden="false" name="apport" vbProcedure="false">Hypothèses!$C$61</definedName>
    <definedName function="false" hidden="false" name="assurances" vbProcedure="false">Hypothèses!$C$53</definedName>
    <definedName function="false" hidden="false" name="attrition_a" vbProcedure="false">Hypothèses!$E$11</definedName>
    <definedName function="false" hidden="false" name="attrition_c" vbProcedure="false">Hypothèses!$D$11</definedName>
    <definedName function="false" hidden="false" name="attrition_p" vbProcedure="false">Hypothèses!$C$11</definedName>
    <definedName function="false" hidden="false" name="cap_chauffeur" vbProcedure="false">Hypothèses!$C$31</definedName>
    <definedName function="false" hidden="false" name="cap_ligne" vbProcedure="false">Hypothèses!$C$32</definedName>
    <definedName function="false" hidden="false" name="cap_operateur" vbProcedure="false">Hypothèses!$C$30</definedName>
    <definedName function="false" hidden="false" name="comptes_courants" vbProcedure="false">Hypothèses!$C$62</definedName>
    <definedName function="false" hidden="false" name="controle_bilan" vbProcedure="false">Bilan!$B$25:$D$25</definedName>
    <definedName function="false" hidden="false" name="controle_financement" vbProcedure="false">Financement!$B$21:$D$21</definedName>
    <definedName function="false" hidden="false" name="cout_contenant" vbProcedure="false">Hypothèses!$C$24</definedName>
    <definedName function="false" hidden="false" name="cout_lavage_a" vbProcedure="false">Hypothèses!$E$15</definedName>
    <definedName function="false" hidden="false" name="cout_lavage_c" vbProcedure="false">Hypothèses!$D$15</definedName>
    <definedName function="false" hidden="false" name="cout_lavage_p" vbProcedure="false">Hypothèses!$C$15</definedName>
    <definedName function="false" hidden="false" name="cout_logistique_a" vbProcedure="false">Hypothèses!$E$16</definedName>
    <definedName function="false" hidden="false" name="cout_logistique_c" vbProcedure="false">Hypothèses!$D$16</definedName>
    <definedName function="false" hidden="false" name="cout_logistique_p" vbProcedure="false">Hypothèses!$C$16</definedName>
    <definedName function="false" hidden="false" name="decote_tranche" vbProcedure="false">Hypothèses!$C$79</definedName>
    <definedName function="false" hidden="false" name="delai_clients_a" vbProcedure="false">Hypothèses!$E$18</definedName>
    <definedName function="false" hidden="false" name="delai_clients_c" vbProcedure="false">Hypothèses!$D$18</definedName>
    <definedName function="false" hidden="false" name="delai_clients_p" vbProcedure="false">Hypothèses!$C$18</definedName>
    <definedName function="false" hidden="false" name="delai_fournisseurs" vbProcedure="false">Hypothèses!$C$59</definedName>
    <definedName function="false" hidden="false" name="differe" vbProcedure="false">Hypothèses!$C$67</definedName>
    <definedName function="false" hidden="false" name="dilution_visee" vbProcedure="false">Hypothèses!$C$71</definedName>
    <definedName function="false" hidden="false" name="duree_amenagement" vbProcedure="false">Hypothèses!$C$38</definedName>
    <definedName function="false" hidden="false" name="duree_contenants" vbProcedure="false">Hypothèses!$C$39</definedName>
    <definedName function="false" hidden="false" name="duree_ligne" vbProcedure="false">Hypothèses!$C$35</definedName>
    <definedName function="false" hidden="false" name="duree_pret" vbProcedure="false">Hypothèses!$C$68</definedName>
    <definedName function="false" hidden="false" name="embauche_com1" vbProcedure="false">Hypothèses!$C$48</definedName>
    <definedName function="false" hidden="false" name="embauche_com2_a" vbProcedure="false">Hypothèses!$E$19</definedName>
    <definedName function="false" hidden="false" name="embauche_com2_c" vbProcedure="false">Hypothèses!$D$19</definedName>
    <definedName function="false" hidden="false" name="embauche_com2_p" vbProcedure="false">Hypothèses!$C$19</definedName>
    <definedName function="false" hidden="false" name="embauche_resp" vbProcedure="false">Hypothèses!$C$49</definedName>
    <definedName function="false" hidden="false" name="energie_ligne" vbProcedure="false">Hypothèses!$C$51</definedName>
    <definedName function="false" hidden="false" name="honoraires" vbProcedure="false">Hypothèses!$C$55</definedName>
    <definedName function="false" hidden="false" name="indexation_prix" vbProcedure="false">Hypothèses!$C$28</definedName>
    <definedName function="false" hidden="false" name="inflation_couts" vbProcedure="false">Hypothèses!$C$29</definedName>
    <definedName function="false" hidden="false" name="jours_mois" vbProcedure="false">Hypothèses!$C$23</definedName>
    <definedName function="false" hidden="false" name="levee" vbProcedure="false">Hypothèses!$C$69</definedName>
    <definedName function="false" hidden="false" name="logiciels" vbProcedure="false">Hypothèses!$C$54</definedName>
    <definedName function="false" hidden="false" name="loyer" vbProcedure="false">Hypothèses!$C$50</definedName>
    <definedName function="false" hidden="false" name="marketing_a1" vbProcedure="false">Hypothèses!$C$56</definedName>
    <definedName function="false" hidden="false" name="marketing_a2" vbProcedure="false">Hypothèses!$C$57</definedName>
    <definedName function="false" hidden="false" name="marketing_a3" vbProcedure="false">Hypothèses!$C$58</definedName>
    <definedName function="false" hidden="false" name="mensualite" vbProcedure="false">Hypothèses!$C$80</definedName>
    <definedName function="false" hidden="false" name="mois_amenagement" vbProcedure="false">Hypothèses!$C$37</definedName>
    <definedName function="false" hidden="false" name="mois_apport" vbProcedure="false">Hypothèses!$C$63</definedName>
    <definedName function="false" hidden="false" name="mois_decision" vbProcedure="false">Hypothèses!$C$73</definedName>
    <definedName function="false" hidden="false" name="mois_levee" vbProcedure="false">Hypothèses!$C$70</definedName>
    <definedName function="false" hidden="false" name="mois_pret" vbProcedure="false">Hypothèses!$C$65</definedName>
    <definedName function="false" hidden="false" name="mois_tranche" vbProcedure="false">Hypothèses!$C$78</definedName>
    <definedName function="false" hidden="false" name="nb_fondateurs" vbProcedure="false">Hypothèses!$C$40</definedName>
    <definedName function="false" hidden="false" name="nouveaux_a1_a" vbProcedure="false">Hypothèses!$E$8</definedName>
    <definedName function="false" hidden="false" name="nouveaux_a1_c" vbProcedure="false">Hypothèses!$D$8</definedName>
    <definedName function="false" hidden="false" name="nouveaux_a1_p" vbProcedure="false">Hypothèses!$C$8</definedName>
    <definedName function="false" hidden="false" name="nouveaux_a2_a" vbProcedure="false">Hypothèses!$E$9</definedName>
    <definedName function="false" hidden="false" name="nouveaux_a2_c" vbProcedure="false">Hypothèses!$D$9</definedName>
    <definedName function="false" hidden="false" name="nouveaux_a2_p" vbProcedure="false">Hypothèses!$C$9</definedName>
    <definedName function="false" hidden="false" name="nouveaux_a3_a" vbProcedure="false">Hypothèses!$E$10</definedName>
    <definedName function="false" hidden="false" name="nouveaux_a3_c" vbProcedure="false">Hypothèses!$D$10</definedName>
    <definedName function="false" hidden="false" name="nouveaux_a3_p" vbProcedure="false">Hypothèses!$C$10</definedName>
    <definedName function="false" hidden="false" name="part_nominale" vbProcedure="false">Hypothèses!$C$81</definedName>
    <definedName function="false" hidden="false" name="pret" vbProcedure="false">Hypothèses!$C$64</definedName>
    <definedName function="false" hidden="false" name="prix_ligne" vbProcedure="false">Hypothèses!$C$34</definedName>
    <definedName function="false" hidden="false" name="prix_rotation_a" vbProcedure="false">Hypothèses!$E$13</definedName>
    <definedName function="false" hidden="false" name="prix_rotation_c" vbProcedure="false">Hypothèses!$D$13</definedName>
    <definedName function="false" hidden="false" name="prix_rotation_p" vbProcedure="false">Hypothèses!$C$13</definedName>
    <definedName function="false" hidden="false" name="regle_decision" vbProcedure="false">Hypothèses!$C$72</definedName>
    <definedName function="false" hidden="false" name="rem_fondateur_a1" vbProcedure="false">Hypothèses!$C$41</definedName>
    <definedName function="false" hidden="false" name="rem_fondateur_a2" vbProcedure="false">Hypothèses!$C$42</definedName>
    <definedName function="false" hidden="false" name="rem_fondateur_a3" vbProcedure="false">Hypothèses!$C$43</definedName>
    <definedName function="false" hidden="false" name="rotations_pdv_a" vbProcedure="false">Hypothèses!$E$12</definedName>
    <definedName function="false" hidden="false" name="rotations_pdv_c" vbProcedure="false">Hypothèses!$D$12</definedName>
    <definedName function="false" hidden="false" name="rotations_pdv_p" vbProcedure="false">Hypothèses!$C$12</definedName>
    <definedName function="false" hidden="false" name="rot_par_contenant" vbProcedure="false">Hypothèses!$C$25</definedName>
    <definedName function="false" hidden="false" name="saisonnalite" vbProcedure="false">Hypothèses!$C$84:$C$95</definedName>
    <definedName function="false" hidden="false" name="sal_chauffeur" vbProcedure="false">Hypothèses!$C$45</definedName>
    <definedName function="false" hidden="false" name="sal_commercial" vbProcedure="false">Hypothèses!$C$46</definedName>
    <definedName function="false" hidden="false" name="sal_operateur" vbProcedure="false">Hypothèses!$C$44</definedName>
    <definedName function="false" hidden="false" name="sal_responsable" vbProcedure="false">Hypothèses!$C$47</definedName>
    <definedName function="false" hidden="false" name="scenario" vbProcedure="false">Hypothèses!$C$5</definedName>
    <definedName function="false" hidden="false" name="seuil_cout_variable" vbProcedure="false">Hypothèses!$C$76</definedName>
    <definedName function="false" hidden="false" name="seuil_decision_pdv" vbProcedure="false">Hypothèses!$C$74</definedName>
    <definedName function="false" hidden="false" name="seuil_ligne" vbProcedure="false">Hypothèses!$C$33</definedName>
    <definedName function="false" hidden="false" name="seuil_prix" vbProcedure="false">Hypothèses!$C$75</definedName>
    <definedName function="false" hidden="false" name="somme_saisonnalite" vbProcedure="false">Hypothèses!$C$96</definedName>
    <definedName function="false" hidden="false" name="stock_initial" vbProcedure="false">Hypothèses!$C$27</definedName>
    <definedName function="false" hidden="false" name="tampon_contenants" vbProcedure="false">Hypothèses!$C$26</definedName>
    <definedName function="false" hidden="false" name="taux_is" vbProcedure="false">Hypothèses!$C$60</definedName>
    <definedName function="false" hidden="false" name="taux_perte_a" vbProcedure="false">Hypothèses!$E$17</definedName>
    <definedName function="false" hidden="false" name="taux_perte_c" vbProcedure="false">Hypothèses!$D$17</definedName>
    <definedName function="false" hidden="false" name="taux_perte_p" vbProcedure="false">Hypothèses!$C$17</definedName>
    <definedName function="false" hidden="false" name="taux_pret" vbProcedure="false">Hypothèses!$C$66</definedName>
    <definedName function="false" hidden="false" name="tranche" vbProcedure="false">Hypothèses!$C$77</definedName>
    <definedName function="false" hidden="false" name="vehicule" vbProcedure="false">Hypothèses!$C$52</definedName>
    <definedName function="false" hidden="false" localSheetId="4" name="Excel_BuiltIn_Print_Titles" vbProcedure="false">Trésorerie!$6:$6,Trésorerie!$A:$A</definedName>
    <definedName function="false" hidden="false" localSheetId="8" name="Excel_BuiltIn_Print_Titles" vbProcedure="false">'Moteur prudent'!$4:$7,'Moteur prudent'!$A:$B</definedName>
    <definedName function="false" hidden="false" localSheetId="9" name="Excel_BuiltIn_Print_Titles" vbProcedure="false">'Moteur central'!$4:$7,'Moteur central'!$A:$B</definedName>
    <definedName function="false" hidden="false" localSheetId="10" name="Excel_BuiltIn_Print_Titles" vbProcedure="false">'Moteur ambitieux'!$4:$7,'Moteur ambitieux'!$A:$B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<sst xmlns="http://schemas.openxmlformats.org/spreadsheetml/2006/main" count="1063" uniqueCount="442">
  <si>
    <t xml:space="preserve">Lavelline : business plan 2027 à 2029</t>
  </si>
  <si>
    <t xml:space="preserve">Préparé par Mezura pour Lavelline. Version du 10 octobre 2026, contrôlée au centime contre le moteur de calcul de référence (Python).</t>
  </si>
  <si>
    <t xml:space="preserve">Exemple de démonstration, entreprise et chiffres fictifs</t>
  </si>
  <si>
    <t xml:space="preserve">Ce classeur</t>
  </si>
  <si>
    <t xml:space="preserve">Business plan sur trois ans d’une jeune entreprise de contenants réutilisables pour la restauration : compte de résultat, trésorerie mensuelle, besoin de financement, bilan simplifié et trois scénarios.</t>
  </si>
  <si>
    <t xml:space="preserve">Lavelline est une entreprise fictive. Toutes les hypothèses et tous les montants sont inventés pour la démonstration.</t>
  </si>
  <si>
    <t xml:space="preserve">Plan établi à partir du 1er janvier 2027, bilan d’ouverture vide : le pilote de 2026, financé par les fondateurs, n’y figure pas.</t>
  </si>
  <si>
    <t xml:space="preserve">Mode d’emploi</t>
  </si>
  <si>
    <t xml:space="preserve">1. Choisir le scénario dans Hypothèses, cellule C5 (1 prudent, 2 central, 3 ambitieux).</t>
  </si>
  <si>
    <t xml:space="preserve">2. Modifier une hypothèse en bleu dans Hypothèses : tout le classeur se recalcule.</t>
  </si>
  <si>
    <t xml:space="preserve">3. Lire Synthèse, puis Compte de résultat, Trésorerie, Financement et Bilan. Scénarios compare les trois sans rien changer.</t>
  </si>
  <si>
    <t xml:space="preserve">4. Vérifier les contrôles en bas de Synthèse : ils doivent tous afficher OK.</t>
  </si>
  <si>
    <t xml:space="preserve">5. Règle de décision : « Règle de décision appliquée » vaut 0 (scénarios avant mesures). À 1, si le point de décision du 30 juin 2028 est manqué (moins de 95 points de vente actifs, prix sous 0,48 € ou coût variable au-dessus de 0,19 € par rotation), le conseil le constate, l’engagement de souscription de 450 k€ est exigé (prix décoté de 20 %) et encaissé en septembre 2028, et la rémunération des fondateurs revient au niveau de 2027, jusqu’à la fin du calcul. Le point se suit dans les feuilles Moteur, ligne « Points de vente actifs, fin de mois », colonne U (juin 2028), et dans Synthèse.</t>
  </si>
  <si>
    <t xml:space="preserve">Feuilles</t>
  </si>
  <si>
    <t xml:space="preserve">Hypothèses : toutes les saisies, avec leur justification.</t>
  </si>
  <si>
    <t xml:space="preserve">Synthèse : chiffres clés, financement, point de décision et contrôles du modèle.</t>
  </si>
  <si>
    <t xml:space="preserve">Compte de résultat : du chiffre d’affaires au résultat net, par année.</t>
  </si>
  <si>
    <t xml:space="preserve">Trésorerie : plan de trésorerie mois par mois sur 36 mois, méthode directe (encaissements et décaissements).</t>
  </si>
  <si>
    <t xml:space="preserve">Financement : capacité d’autofinancement, emplois et ressources, besoin de financement.</t>
  </si>
  <si>
    <t xml:space="preserve">Bilan : bilan simplifié au 31 décembre, avec contrôle d’équilibre et contrôle des capitaux propres.</t>
  </si>
  <si>
    <t xml:space="preserve">Scénarios : les trois scénarios côte à côte.</t>
  </si>
  <si>
    <t xml:space="preserve">Moteurs prudent, central, ambitieux : le calcul mensuel, une feuille par scénario, mêmes formules.</t>
  </si>
  <si>
    <t xml:space="preserve">Conventions de lecture</t>
  </si>
  <si>
    <t xml:space="preserve">Texte bleu sur fond crème : hypothèse à saisir.</t>
  </si>
  <si>
    <t xml:space="preserve">Texte noir : calcul. Ne pas écraser.</t>
  </si>
  <si>
    <t xml:space="preserve">Texte vert : renvoi vers une autre feuille.</t>
  </si>
  <si>
    <t xml:space="preserve">Montants en euros hors taxes, arrondis à l’affichage ; valeurs négatives entre parenthèses ; zéro affiché « - ».</t>
  </si>
  <si>
    <t xml:space="preserve">Compte de résultat : charges en positif, retranchées des produits. Trésorerie : entrées en positif, sorties en négatif. La synthèse PDF affiche les charges en négatif.</t>
  </si>
  <si>
    <t xml:space="preserve">Points de vente : moyenne attendue (l’attrition s’applique en continu, d’où des valeurs non entières).</t>
  </si>
  <si>
    <t xml:space="preserve">Conventions comptables et fiscales (sens et ordre de grandeur au point bas du scénario central)</t>
  </si>
  <si>
    <t xml:space="preserve">TVA non modélisée : simulée à part (20 %, déclaration mensuelle sur option du régime réel normal), elle avance 50 k€ au premier trimestre 2027, remboursés dans les mois suivants ; au point bas de septembre 2029, elle ajoute 7 k€ (simulation hors classeur, crédit remboursé deux mois après sa déclaration).</t>
  </si>
  <si>
    <t xml:space="preserve">Charges sociales payées dans le mois (pas de dettes sociales) : la trésorerie est sous-estimée d’environ 15 k€ au point bas.</t>
  </si>
  <si>
    <t xml:space="preserve">Loyer, assurances et véhicules payés à 30 jours comme les autres achats, au lieu d’avance ; pas de dépôt de garantie sur le bail : ensemble, environ 20 k€ de trésorerie en trop au point bas.</t>
  </si>
  <si>
    <t xml:space="preserve">Cotisation foncière des entreprises non comptée (exonérée l’année de création, réduite de moitié la deuxième) : quelques milliers d’euros par an à partir de 2028.</t>
  </si>
  <si>
    <t xml:space="preserve">Impôt sur les sociétés calculé et payé en décembre de chaque année, sans acomptes ; aucun impôt dû sur la période (déficits reportables).</t>
  </si>
  <si>
    <t xml:space="preserve">Contenants : remplacement des contenants perdus en charges ; leur valeur nette sort de l’actif chaque mois (mise au rebut). Amortissements arrêtés à la fin de la durée de chaque achat.</t>
  </si>
  <si>
    <t xml:space="preserve">Capital social : apport des fondateurs et part nominale des actions émises ; le reste du prix est une prime d’émission.</t>
  </si>
  <si>
    <t xml:space="preserve">Encaissements décalés du seul délai client, sans impayés ni saisonnalité propre. Pas de valeur terminale.</t>
  </si>
  <si>
    <t xml:space="preserve">Ce que le modèle ne dit pas</t>
  </si>
  <si>
    <t xml:space="preserve">L’horizon s’arrête en décembre 2029. Au scénario central, une troisième ligne de lavage (150 k€) s’achète au premier semestre 2030 si la croissance continue ; elle n’est pas financée par les ressources du plan. La synthèse PDF chiffre ce cas (prolongation hors classeur) et la parade : un crédit-bail.</t>
  </si>
  <si>
    <t xml:space="preserve">Hors classeur, par le même moteur : sensibilités, année 2030, prudent prolongé jusqu’à son équilibre de 2032, crédit-bail, effet de l’engagement de souscription seul, TVA.</t>
  </si>
  <si>
    <t xml:space="preserve">La règle de décision n’est appliquée que sur demande (hypothèse à 1) ; le crédit-bail des lignes n’est pas modélisé dans le classeur.</t>
  </si>
  <si>
    <t xml:space="preserve">Les comptages du marché et la valeur de l’entreprise ne sont pas dans ce classeur.</t>
  </si>
  <si>
    <t xml:space="preserve">Préparé par Mezura, cabinet de conseil et de réalisation. mezura.fr</t>
  </si>
  <si>
    <t xml:space="preserve">Pour votre cas</t>
  </si>
  <si>
    <t xml:space="preserve">Ce document est un exemple. Pour votre cas : mezura.fr/contact/?objet=exemple&amp;utm_source=demo&amp;utm_content=modele-financier</t>
  </si>
  <si>
    <t xml:space="preserve">Téléphone : 06 43 44 07 57</t>
  </si>
  <si>
    <t xml:space="preserve">Hypothèses</t>
  </si>
  <si>
    <t xml:space="preserve">Toutes les saisies du modèle sont sur cette feuille, en bleu. Les autres feuilles se recalculent.</t>
  </si>
  <si>
    <t xml:space="preserve">Scénario retenu pour les feuilles de restitution</t>
  </si>
  <si>
    <t xml:space="preserve">1 = prudent, 2 = central, 3 = ambitieux</t>
  </si>
  <si>
    <t xml:space="preserve">Hypothèses propres à chaque scénario</t>
  </si>
  <si>
    <t xml:space="preserve">Unité</t>
  </si>
  <si>
    <t xml:space="preserve">Prudent</t>
  </si>
  <si>
    <t xml:space="preserve">Central</t>
  </si>
  <si>
    <t xml:space="preserve">Ambitieux</t>
  </si>
  <si>
    <t xml:space="preserve">Retenu</t>
  </si>
  <si>
    <t xml:space="preserve">Justification</t>
  </si>
  <si>
    <t xml:space="preserve">Nouveaux points de vente par mois, 2027</t>
  </si>
  <si>
    <t xml:space="preserve">nombre</t>
  </si>
  <si>
    <t xml:space="preserve">Rythme d'un commercial en démarrage : 5 adhésions par mois mesurées pendant le recrutement du pilote, de juin à août 2026</t>
  </si>
  <si>
    <t xml:space="preserve">Nouveaux points de vente par mois, 2028</t>
  </si>
  <si>
    <t xml:space="preserve">Deux sources : prospection directe et recommandation entre restaurateurs</t>
  </si>
  <si>
    <t xml:space="preserve">Nouveaux points de vente par mois, 2029</t>
  </si>
  <si>
    <t xml:space="preserve">Second commercial (central et ambitieux)</t>
  </si>
  <si>
    <t xml:space="preserve">Attrition mensuelle des points de vente</t>
  </si>
  <si>
    <t xml:space="preserve">%</t>
  </si>
  <si>
    <t xml:space="preserve">Fermetures et arrêts de la vente à emporter</t>
  </si>
  <si>
    <t xml:space="preserve">Rotations par point de vente et par mois</t>
  </si>
  <si>
    <t xml:space="preserve">Moyenne des 3 mois pilotes (septembre à novembre 2026), 15 restaurants équipés : 705 rotations</t>
  </si>
  <si>
    <t xml:space="preserve">Prix par rotation, 2027</t>
  </si>
  <si>
    <t xml:space="preserve">€ HT</t>
  </si>
  <si>
    <t xml:space="preserve">Grille tarifaire testée auprès de 14 restaurateurs</t>
  </si>
  <si>
    <t xml:space="preserve">Abonnement mensuel par point de vente, 2027</t>
  </si>
  <si>
    <t xml:space="preserve">Couvre le stock de contenants déposé et la collecte</t>
  </si>
  <si>
    <t xml:space="preserve">Lavage par rotation (eau, énergie, produits)</t>
  </si>
  <si>
    <t xml:space="preserve">Devis du fabricant de la ligne de lavage</t>
  </si>
  <si>
    <t xml:space="preserve">Collecte et livraison par rotation (hors salaires)</t>
  </si>
  <si>
    <t xml:space="preserve">Recharge des utilitaires et péages ; tournées de 22 points de vente, collecte deux fois par semaine</t>
  </si>
  <si>
    <t xml:space="preserve">Contenants perdus ou cassés, par rotation</t>
  </si>
  <si>
    <t xml:space="preserve">Pilote : 2,1 % de pertes</t>
  </si>
  <si>
    <t xml:space="preserve">Délai de paiement des clients</t>
  </si>
  <si>
    <t xml:space="preserve">jours</t>
  </si>
  <si>
    <t xml:space="preserve">Facturation mensuelle, prélèvement à 30 jours</t>
  </si>
  <si>
    <t xml:space="preserve">Mois d'embauche du second commercial</t>
  </si>
  <si>
    <t xml:space="preserve">mois</t>
  </si>
  <si>
    <t xml:space="preserve">0 : pas d'embauche sur la période</t>
  </si>
  <si>
    <t xml:space="preserve">Hypothèses communes aux trois scénarios</t>
  </si>
  <si>
    <t xml:space="preserve">Valeur</t>
  </si>
  <si>
    <t xml:space="preserve">Première année du plan</t>
  </si>
  <si>
    <t xml:space="preserve">année</t>
  </si>
  <si>
    <t xml:space="preserve">Plan établi à partir du 1er janvier ; le pilote de 2026, financé par les fondateurs, n'y figure pas</t>
  </si>
  <si>
    <t xml:space="preserve">Jours par mois, pour les délais de paiement</t>
  </si>
  <si>
    <t xml:space="preserve">Convention : 30 jours de délai valent un mois de chiffre d'affaires ou d'achats</t>
  </si>
  <si>
    <t xml:space="preserve">Coût d'achat d'un contenant</t>
  </si>
  <si>
    <t xml:space="preserve">Contenant réutilisable en polypropylène de 750 ml avec couvercle</t>
  </si>
  <si>
    <t xml:space="preserve">Rotations d'un contenant par mois</t>
  </si>
  <si>
    <t xml:space="preserve">Un contenant revient au lavage tous les 6 jours</t>
  </si>
  <si>
    <t xml:space="preserve">Stock tampon de contenants</t>
  </si>
  <si>
    <t xml:space="preserve">Stock de sécurité au dépôt et chez les restaurateurs, et anticipation de la croissance</t>
  </si>
  <si>
    <t xml:space="preserve">Stock initial de contenants</t>
  </si>
  <si>
    <t xml:space="preserve">Acheté au lancement</t>
  </si>
  <si>
    <t xml:space="preserve">Indexation annuelle des prix</t>
  </si>
  <si>
    <t xml:space="preserve">Appliquée au 1er janvier</t>
  </si>
  <si>
    <t xml:space="preserve">Inflation annuelle des coûts et salaires</t>
  </si>
  <si>
    <t xml:space="preserve">Capacité d'un opérateur de lavage</t>
  </si>
  <si>
    <t xml:space="preserve">rotations par mois</t>
  </si>
  <si>
    <t xml:space="preserve">Une équipe en journée, jours ouvrés</t>
  </si>
  <si>
    <t xml:space="preserve">Capacité d'un chauffeur-livreur</t>
  </si>
  <si>
    <t xml:space="preserve">Deux tournées par jour</t>
  </si>
  <si>
    <t xml:space="preserve">Capacité d'une ligne de lavage</t>
  </si>
  <si>
    <t xml:space="preserve">Fiche technique du fabricant, deux équipes</t>
  </si>
  <si>
    <t xml:space="preserve">Taux de charge déclenchant une nouvelle ligne</t>
  </si>
  <si>
    <t xml:space="preserve">Achat anticipé avant saturation</t>
  </si>
  <si>
    <t xml:space="preserve">Prix d'une ligne de lavage</t>
  </si>
  <si>
    <t xml:space="preserve">Devis, installation comprise</t>
  </si>
  <si>
    <t xml:space="preserve">Durée d'amortissement d'une ligne</t>
  </si>
  <si>
    <t xml:space="preserve">7 ans, linéaire</t>
  </si>
  <si>
    <t xml:space="preserve">Aménagement du local</t>
  </si>
  <si>
    <t xml:space="preserve">Réseaux d'eau, sols, ventilation</t>
  </si>
  <si>
    <t xml:space="preserve">Mois de l'aménagement du local</t>
  </si>
  <si>
    <t xml:space="preserve">Janvier 2027, avant la première tournée</t>
  </si>
  <si>
    <t xml:space="preserve">Durée d'amortissement de l'aménagement</t>
  </si>
  <si>
    <t xml:space="preserve">10 ans, linéaire</t>
  </si>
  <si>
    <t xml:space="preserve">Durée d'amortissement des contenants</t>
  </si>
  <si>
    <t xml:space="preserve">3 ans, linéaire ; les contenants perdus sortent de l'actif chaque mois</t>
  </si>
  <si>
    <t xml:space="preserve">Fondateurs rémunérés</t>
  </si>
  <si>
    <t xml:space="preserve">Présidente (assimilée salariée) et directeur des opérations</t>
  </si>
  <si>
    <t xml:space="preserve">Rémunération chargée par fondateur, 2027</t>
  </si>
  <si>
    <t xml:space="preserve">€ par an</t>
  </si>
  <si>
    <t xml:space="preserve">Rémunération réduite la première année</t>
  </si>
  <si>
    <t xml:space="preserve">Rémunération chargée par fondateur, 2028</t>
  </si>
  <si>
    <t xml:space="preserve">Rémunération chargée par fondateur, 2029</t>
  </si>
  <si>
    <t xml:space="preserve">Salaire chargé d'un opérateur de lavage</t>
  </si>
  <si>
    <t xml:space="preserve">Valeur 2027, indexée</t>
  </si>
  <si>
    <t xml:space="preserve">Salaire chargé d'un chauffeur-livreur</t>
  </si>
  <si>
    <t xml:space="preserve">Salaire chargé d'un commercial</t>
  </si>
  <si>
    <t xml:space="preserve">Fixe et variable, valeur 2027, indexée</t>
  </si>
  <si>
    <t xml:space="preserve">Salaire chargé du responsable d'exploitation</t>
  </si>
  <si>
    <t xml:space="preserve">Mois d'embauche du premier commercial</t>
  </si>
  <si>
    <t xml:space="preserve">Avril 2027</t>
  </si>
  <si>
    <t xml:space="preserve">Mois d'embauche du responsable d'exploitation</t>
  </si>
  <si>
    <t xml:space="preserve">Janvier 2028</t>
  </si>
  <si>
    <t xml:space="preserve">Loyer et charges du local</t>
  </si>
  <si>
    <t xml:space="preserve">€ HT par mois</t>
  </si>
  <si>
    <t xml:space="preserve">Local de 450 m², bail commercial</t>
  </si>
  <si>
    <t xml:space="preserve">Énergie fixe et maintenance, par ligne</t>
  </si>
  <si>
    <t xml:space="preserve">Contrat de maintenance du fabricant</t>
  </si>
  <si>
    <t xml:space="preserve">Location d'un véhicule, par chauffeur</t>
  </si>
  <si>
    <t xml:space="preserve">Utilitaire électrique, location longue durée</t>
  </si>
  <si>
    <t xml:space="preserve">Assurances</t>
  </si>
  <si>
    <t xml:space="preserve">Logiciels et télécoms</t>
  </si>
  <si>
    <t xml:space="preserve">Suivi des contenants, facturation</t>
  </si>
  <si>
    <t xml:space="preserve">Comptabilité et juridique</t>
  </si>
  <si>
    <t xml:space="preserve">Marketing, 2027</t>
  </si>
  <si>
    <t xml:space="preserve">Marketing, 2028</t>
  </si>
  <si>
    <t xml:space="preserve">Marketing, 2029</t>
  </si>
  <si>
    <t xml:space="preserve">Délai de paiement des fournisseurs</t>
  </si>
  <si>
    <t xml:space="preserve">Taux d'impôt sur les sociétés</t>
  </si>
  <si>
    <t xml:space="preserve">Taux normal ; taux réduit non retenu, par prudence</t>
  </si>
  <si>
    <t xml:space="preserve">Apport en capital des fondateurs</t>
  </si>
  <si>
    <t xml:space="preserve">€</t>
  </si>
  <si>
    <t xml:space="preserve">Porté entièrement au capital social</t>
  </si>
  <si>
    <t xml:space="preserve">Prêts d'honneur apportés en compte courant</t>
  </si>
  <si>
    <t xml:space="preserve">Bloqués pendant la durée du prêt bancaire</t>
  </si>
  <si>
    <t xml:space="preserve">Mois de l'apport et des prêts d'honneur</t>
  </si>
  <si>
    <t xml:space="preserve">Janvier 2027</t>
  </si>
  <si>
    <t xml:space="preserve">Prêt bancaire</t>
  </si>
  <si>
    <t xml:space="preserve">Accordé sous condition de la levée</t>
  </si>
  <si>
    <t xml:space="preserve">Mois de décaissement du prêt</t>
  </si>
  <si>
    <t xml:space="preserve">Taux du prêt bancaire</t>
  </si>
  <si>
    <t xml:space="preserve">Taux fixe annuel</t>
  </si>
  <si>
    <t xml:space="preserve">Différé d'amortissement du prêt</t>
  </si>
  <si>
    <t xml:space="preserve">Intérêts seuls pendant le différé</t>
  </si>
  <si>
    <t xml:space="preserve">Durée d'amortissement après le différé</t>
  </si>
  <si>
    <t xml:space="preserve">Durée totale de 5 ans</t>
  </si>
  <si>
    <t xml:space="preserve">Levée de fonds d'amorçage</t>
  </si>
  <si>
    <t xml:space="preserve">Augmentation de capital</t>
  </si>
  <si>
    <t xml:space="preserve">Mois d'encaissement de la levée</t>
  </si>
  <si>
    <t xml:space="preserve">Tour signé en décembre 2026, encaissé en janvier 2027</t>
  </si>
  <si>
    <t xml:space="preserve">Part du capital cédée aux investisseurs pour la levée</t>
  </si>
  <si>
    <t xml:space="preserve">Milieu de la fourchette visée par l'entreprise (20 à 25 %), à négocier ; fixe la part nominale des actions émises</t>
  </si>
  <si>
    <t xml:space="preserve">Règle de décision appliquée (1 oui, 0 non)</t>
  </si>
  <si>
    <t xml:space="preserve">0 ou 1</t>
  </si>
  <si>
    <t xml:space="preserve">0 : scénarios avant mesures. 1 : si le point de décision est manqué, tranche conditionnelle appelée et rémunérations des fondateurs gelées</t>
  </si>
  <si>
    <t xml:space="preserve">Mois du point de décision</t>
  </si>
  <si>
    <t xml:space="preserve">Fin juin 2028</t>
  </si>
  <si>
    <t xml:space="preserve">Points de vente actifs attendus au point de décision</t>
  </si>
  <si>
    <t xml:space="preserve">Sous ce seuil, la règle de décision joue</t>
  </si>
  <si>
    <t xml:space="preserve">Prix par rotation signé, sous lequel la règle joue</t>
  </si>
  <si>
    <t xml:space="preserve">Valeur 2027 ; central à 0,50 €, soit 4 % de marge</t>
  </si>
  <si>
    <t xml:space="preserve">Coût variable par rotation au-dessus duquel la règle joue</t>
  </si>
  <si>
    <t xml:space="preserve">Lavage, collecte et contenants perdus, valeur 2027 ; central à 0,17 €, soit 10 % de marge</t>
  </si>
  <si>
    <t xml:space="preserve">Engagement de souscription des investisseurs (tranche conditionnelle)</t>
  </si>
  <si>
    <t xml:space="preserve">Inscrit au pacte d'associés, exigible dès que le conseil constate le point de décision manqué ; émission votée au tour, réalisée par le président sur délégation (26 mois au plus)</t>
  </si>
  <si>
    <t xml:space="preserve">Mois d'encaissement de la tranche</t>
  </si>
  <si>
    <t xml:space="preserve">Septembre 2028, trois mois après le point de décision, 21 mois après le tour</t>
  </si>
  <si>
    <t xml:space="preserve">Décote du prix d'émission de l'engagement sur le prix du tour</t>
  </si>
  <si>
    <t xml:space="preserve">Fixée au pacte : contrepartie d'un engagement qui ne joue que si le plan est manqué ; sans effet sur la trésorerie</t>
  </si>
  <si>
    <t xml:space="preserve">Mensualité du prêt après le différé (calcul)</t>
  </si>
  <si>
    <t xml:space="preserve">€ par mois</t>
  </si>
  <si>
    <t xml:space="preserve">Annuité constante, fonction VPM</t>
  </si>
  <si>
    <t xml:space="preserve">Part du prix des actions émises portée au capital social (calcul)</t>
  </si>
  <si>
    <t xml:space="preserve">À valeur nominale égale par action, les investisseurs détiennent la part visée ; le reste du prix est une prime d’émission</t>
  </si>
  <si>
    <t xml:space="preserve">Saisonnalité de l'activité</t>
  </si>
  <si>
    <t xml:space="preserve">Mois</t>
  </si>
  <si>
    <t xml:space="preserve">Coefficient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</si>
  <si>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</si>
  <si>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</si>
  <si>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</si>
  <si>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</si>
  <si>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</si>
  <si>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</si>
  <si>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</si>
  <si>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</si>
  <si>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</si>
  <si>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</si>
  <si>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</si>
  <si>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</si>
  <si>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Somme des coefficients (doit valoir 12)</t>
  </si>
  <si>
    <t xml:space="preserve">Toutes les hypothèses sont fictives : elles illustrent la forme d’un modèle, pas un marché réel.</t>
  </si>
  <si>
    <t xml:space="preserve">Synthèse du business plan</t>
  </si>
  <si>
    <t xml:space="preserve">Lavelline, contenants réutilisables pour la restauration. Scénario affiché : celui choisi dans Hypothèses.</t>
  </si>
  <si>
    <t xml:space="preserve">Chiffres clés</t>
  </si>
  <si>
    <t xml:space="preserve">Chiffre d’affaires</t>
  </si>
  <si>
    <t xml:space="preserve">Marge sur coûts variables</t>
  </si>
  <si>
    <t xml:space="preserve">Excédent brut d’exploitation (EBE)</t>
  </si>
  <si>
    <t xml:space="preserve">Marge d’EBE</t>
  </si>
  <si>
    <t xml:space="preserve">Résultat net</t>
  </si>
  <si>
    <t xml:space="preserve">Investissements</t>
  </si>
  <si>
    <t xml:space="preserve">Trésorerie au 31 décembre</t>
  </si>
  <si>
    <t xml:space="preserve">Capitaux propres au 31 décembre</t>
  </si>
  <si>
    <t xml:space="preserve">Points de vente actifs, fin d’année</t>
  </si>
  <si>
    <t xml:space="preserve">Effectif, fin d’année (ETP)</t>
  </si>
  <si>
    <t xml:space="preserve">Financement</t>
  </si>
  <si>
    <t xml:space="preserve">Besoin de financement maximal</t>
  </si>
  <si>
    <t xml:space="preserve">Atteint en</t>
  </si>
  <si>
    <t xml:space="preserve">Ressources prévues, hors engagement de souscription</t>
  </si>
  <si>
    <t xml:space="preserve">Point bas de trésorerie</t>
  </si>
  <si>
    <t xml:space="preserve">Premier mois d’EBE positif chaque mois jusqu’à fin 2029</t>
  </si>
  <si>
    <t xml:space="preserve">Point de décision</t>
  </si>
  <si>
    <t xml:space="preserve">Date : fin du mois de décision</t>
  </si>
  <si>
    <t xml:space="preserve">Points de vente actifs à cette date</t>
  </si>
  <si>
    <t xml:space="preserve">Seuil</t>
  </si>
  <si>
    <t xml:space="preserve">Prix par rotation du scénario</t>
  </si>
  <si>
    <t xml:space="preserve">Seuil de prix</t>
  </si>
  <si>
    <t xml:space="preserve">Coût variable par rotation du scénario (lavage, collecte, pertes)</t>
  </si>
  <si>
    <t xml:space="preserve">Seuil de coût variable</t>
  </si>
  <si>
    <t xml:space="preserve">Statut</t>
  </si>
  <si>
    <t xml:space="preserve">Règle de décision appliquée dans les moteurs</t>
  </si>
  <si>
    <t xml:space="preserve">Engagement de souscription exigé</t>
  </si>
  <si>
    <t xml:space="preserve">Contrôles du modèle</t>
  </si>
  <si>
    <t xml:space="preserve">Bilan équilibré sur les trois années</t>
  </si>
  <si>
    <t xml:space="preserve">Plan de financement égal au plan de trésorerie</t>
  </si>
  <si>
    <t xml:space="preserve">Bilan équilibré chaque mois, trois scénarios</t>
  </si>
  <si>
    <t xml:space="preserve">Saisonnalité : somme des coefficients égale à 12</t>
  </si>
  <si>
    <t xml:space="preserve">Règle de décision : tranche encaissée après le point de décision</t>
  </si>
  <si>
    <t xml:space="preserve">Compte de résultat prévisionnel</t>
  </si>
  <si>
    <t xml:space="preserve">En euros hors taxes. Scénario affiché : celui choisi dans Hypothèses. Charges en positif, retranchées des produits.</t>
  </si>
  <si>
    <t xml:space="preserve">En euros</t>
  </si>
  <si>
    <t xml:space="preserve">Facturation des rotations</t>
  </si>
  <si>
    <t xml:space="preserve">Abonnements des points de vente</t>
  </si>
  <si>
    <t xml:space="preserve">Croissance annuelle</t>
  </si>
  <si>
    <t xml:space="preserve">Lavage</t>
  </si>
  <si>
    <t xml:space="preserve">Collecte et livraison</t>
  </si>
  <si>
    <t xml:space="preserve">Remplacement des contenants perdus</t>
  </si>
  <si>
    <t xml:space="preserve">Taux de marge sur coûts variables</t>
  </si>
  <si>
    <t xml:space="preserve">Charges de personnel</t>
  </si>
  <si>
    <t xml:space="preserve">Charges externes</t>
  </si>
  <si>
    <t xml:space="preserve">Dotations aux amortissements</t>
  </si>
  <si>
    <t xml:space="preserve">Mise au rebut des contenants perdus (valeur nette)</t>
  </si>
  <si>
    <t xml:space="preserve">Résultat d’exploitation</t>
  </si>
  <si>
    <t xml:space="preserve">Charges financières</t>
  </si>
  <si>
    <t xml:space="preserve">Résultat courant avant impôt</t>
  </si>
  <si>
    <t xml:space="preserve">Impôt sur les sociétés</t>
  </si>
  <si>
    <t xml:space="preserve">Indicateurs d’activité</t>
  </si>
  <si>
    <t xml:space="preserve">Points de vente actifs, fin d’année (moyenne attendue)</t>
  </si>
  <si>
    <t xml:space="preserve">Rotations de contenants dans l’année</t>
  </si>
  <si>
    <t xml:space="preserve">Effectif total, fin d’année (ETP)</t>
  </si>
  <si>
    <t xml:space="preserve">Lignes de lavage installées</t>
  </si>
  <si>
    <t xml:space="preserve">Déficits reportables, fin d’année</t>
  </si>
  <si>
    <t xml:space="preserve">Croissance de 2027 non calculée : première année d’activité.</t>
  </si>
  <si>
    <t xml:space="preserve">Impôt : taux normal de 25 %, calculé en décembre sur le résultat de l’année, après imputation des déficits antérieurs (plafond légal non atteint sur la période).</t>
  </si>
  <si>
    <t xml:space="preserve">Contenants perdus : leur remplacement est une charge variable ; leur valeur nette restante sort de l’actif chaque mois (mise au rebut).</t>
  </si>
  <si>
    <t xml:space="preserve">Mise au rebut présentée en exploitation, comme une perte récurrente ; en comptabilité générale, c’est une charge exceptionnelle (compte 675).</t>
  </si>
  <si>
    <t xml:space="preserve">Plan de trésorerie mensuel</t>
  </si>
  <si>
    <t xml:space="preserve">En euros, méthode directe. Scénario affiché : celui choisi dans Hypothèses. Flux hors TVA. Entrées en positif, sorties en négatif.</t>
  </si>
  <si>
    <t xml:space="preserve">Exploitation</t>
  </si>
  <si>
    <t xml:space="preserve">Encaissements clients</t>
  </si>
  <si>
    <t xml:space="preserve">Décaissements fournisseurs (coûts variables et charges externes)</t>
  </si>
  <si>
    <t xml:space="preserve">Salaires et rémunérations chargés</t>
  </si>
  <si>
    <t xml:space="preserve">Flux d’exploitation</t>
  </si>
  <si>
    <t xml:space="preserve">Lignes de lavage</t>
  </si>
  <si>
    <t xml:space="preserve">Contenants</t>
  </si>
  <si>
    <t xml:space="preserve">Flux d’investissement</t>
  </si>
  <si>
    <t xml:space="preserve">Apports, comptes courants et levée</t>
  </si>
  <si>
    <t xml:space="preserve">Tranche conditionnelle (règle de décision)</t>
  </si>
  <si>
    <t xml:space="preserve">Décaissement du prêt</t>
  </si>
  <si>
    <t xml:space="preserve">Remboursement du capital</t>
  </si>
  <si>
    <t xml:space="preserve">Intérêts</t>
  </si>
  <si>
    <t xml:space="preserve">Flux de financement</t>
  </si>
  <si>
    <t xml:space="preserve">Variation de trésorerie</t>
  </si>
  <si>
    <t xml:space="preserve">Trésorerie, fin de période</t>
  </si>
  <si>
    <t xml:space="preserve">Trésorerie cumulée avant tout financement</t>
  </si>
  <si>
    <t xml:space="preserve">Pour mémoire, hors des sommes ci-dessus</t>
  </si>
  <si>
    <t xml:space="preserve">Excédent brut d’exploitation</t>
  </si>
  <si>
    <t xml:space="preserve">Variation du besoin en fonds de roulement (positive : elle consomme)</t>
  </si>
  <si>
    <t xml:space="preserve">Trésorerie négative en rouge : besoin de financement non couvert à ce mois. Valeurs négatives entre parenthèses.</t>
  </si>
  <si>
    <t xml:space="preserve">Besoin de financement et plan de financement</t>
  </si>
  <si>
    <t xml:space="preserve">En euros. Scénario affiché : celui choisi dans Hypothèses.</t>
  </si>
  <si>
    <t xml:space="preserve">Capacité (insuffisance) d’autofinancement</t>
  </si>
  <si>
    <t xml:space="preserve">Mise au rebut des contenants perdus (sans sortie de trésorerie)</t>
  </si>
  <si>
    <t xml:space="preserve">Emplois</t>
  </si>
  <si>
    <t xml:space="preserve">Variation du besoin en fonds de roulement</t>
  </si>
  <si>
    <t xml:space="preserve">Remboursement d’emprunt</t>
  </si>
  <si>
    <t xml:space="preserve">Ressources externes</t>
  </si>
  <si>
    <t xml:space="preserve">Tranche conditionnelle</t>
  </si>
  <si>
    <t xml:space="preserve">Variation de trésorerie (ressources moins emplois)</t>
  </si>
  <si>
    <t xml:space="preserve">Contrôle : écart avec le plan de trésorerie (doit valoir 0)</t>
  </si>
  <si>
    <t xml:space="preserve">Besoin de financement</t>
  </si>
  <si>
    <t xml:space="preserve">Besoin de financement maximal (flux d’exploitation et d’investissement cumulés)</t>
  </si>
  <si>
    <t xml:space="preserve">Ressources prévues : apports, comptes courants, levée et prêt (hors engagement de souscription)</t>
  </si>
  <si>
    <t xml:space="preserve">Point bas de la trésorerie, service du prêt compris</t>
  </si>
  <si>
    <t xml:space="preserve">Premier mois de trésorerie négative</t>
  </si>
  <si>
    <t xml:space="preserve">Le besoin se lit avant tout financement ; le point bas se lit après apports, levée, prêt et service du prêt. Horizon : 36 mois ; la troisième ligne de lavage, attendue en 2030 au scénario central, n’y figure pas.</t>
  </si>
  <si>
    <t xml:space="preserve">Bilan simplifié au 31 décembre</t>
  </si>
  <si>
    <t xml:space="preserve">Actif</t>
  </si>
  <si>
    <t xml:space="preserve">Immobilisations brutes en service</t>
  </si>
  <si>
    <t xml:space="preserve">Amortissements cumulés</t>
  </si>
  <si>
    <t xml:space="preserve">Immobilisations nettes</t>
  </si>
  <si>
    <t xml:space="preserve">Créances clients</t>
  </si>
  <si>
    <t xml:space="preserve">Trésorerie</t>
  </si>
  <si>
    <t xml:space="preserve">Total de l’actif</t>
  </si>
  <si>
    <t xml:space="preserve">Passif</t>
  </si>
  <si>
    <t xml:space="preserve">Capital social</t>
  </si>
  <si>
    <t xml:space="preserve">Prime d’émission</t>
  </si>
  <si>
    <t xml:space="preserve">Résultats cumulés</t>
  </si>
  <si>
    <t xml:space="preserve">Capitaux propres</t>
  </si>
  <si>
    <t xml:space="preserve">Comptes courants d’associés</t>
  </si>
  <si>
    <t xml:space="preserve">Emprunt bancaire restant dû</t>
  </si>
  <si>
    <t xml:space="preserve">Dettes fournisseurs</t>
  </si>
  <si>
    <t xml:space="preserve">Découvert à financer</t>
  </si>
  <si>
    <t xml:space="preserve">Total du passif</t>
  </si>
  <si>
    <t xml:space="preserve">Contrôles</t>
  </si>
  <si>
    <t xml:space="preserve">Actif moins passif (doit valoir 0)</t>
  </si>
  <si>
    <t xml:space="preserve">Capitaux propres et moitié du capital social</t>
  </si>
  <si>
    <t xml:space="preserve">Part du capital détenue par les investisseurs du tour</t>
  </si>
  <si>
    <t xml:space="preserve">Capital social : apport des fondateurs et part nominale des actions émises ; le reste du prix des actions est une prime d’émission. Valeurs non arrondies : le pacte arrondit le nombre d’actions émises et leur prix.</t>
  </si>
  <si>
    <t xml:space="preserve">Engagement de souscription : actions émises au prix du tour diminué de la décote, donc plus d’actions et plus de capital social pour le même montant.</t>
  </si>
  <si>
    <t xml:space="preserve">Sous la moitié du capital social, la loi impose de consulter les associés sur la poursuite de l’activité, puis de reconstituer les capitaux propres (art. L. 225-248 et L. 227-1 du Code de commerce).</t>
  </si>
  <si>
    <t xml:space="preserve">Au scénario prudent sans la règle de décision, les capitaux propres deviennent négatifs fin 2029 : l’engagement de souscription, exigé quand le conseil constate le point de décision manqué, les reconstitue.</t>
  </si>
  <si>
    <t xml:space="preserve">TVA non modélisée : ni créance ni dette de TVA au bilan.</t>
  </si>
  <si>
    <t xml:space="preserve">Comparaison des trois scénarios</t>
  </si>
  <si>
    <t xml:space="preserve">Les trois colonnes se calculent en même temps, quel que soit le scénario choisi.</t>
  </si>
  <si>
    <t xml:space="preserve">Indicateur</t>
  </si>
  <si>
    <t xml:space="preserve">Chiffre d’affaires 2027</t>
  </si>
  <si>
    <t xml:space="preserve">Chiffre d’affaires 2028</t>
  </si>
  <si>
    <t xml:space="preserve">Chiffre d’affaires 2029</t>
  </si>
  <si>
    <t xml:space="preserve">EBE 2027</t>
  </si>
  <si>
    <t xml:space="preserve">EBE 2028</t>
  </si>
  <si>
    <t xml:space="preserve">EBE 2029</t>
  </si>
  <si>
    <t xml:space="preserve">Marge d’EBE 2029</t>
  </si>
  <si>
    <t xml:space="preserve">Résultat net 2029</t>
  </si>
  <si>
    <t xml:space="preserve">Points de vente actifs, fin 2029</t>
  </si>
  <si>
    <t xml:space="preserve">Rotations de contenants en 2029</t>
  </si>
  <si>
    <t xml:space="preserve">Effectif fin 2029</t>
  </si>
  <si>
    <t xml:space="preserve">ETP</t>
  </si>
  <si>
    <t xml:space="preserve">Investissements cumulés 2027 à 2029</t>
  </si>
  <si>
    <t xml:space="preserve">Points de vente actifs au point de décision</t>
  </si>
  <si>
    <t xml:space="preserve">Mois du besoin maximal</t>
  </si>
  <si>
    <t xml:space="preserve">Mois du point bas</t>
  </si>
  <si>
    <t xml:space="preserve">Trésorerie fin 2029</t>
  </si>
  <si>
    <t xml:space="preserve">Capitaux propres fin 2029</t>
  </si>
  <si>
    <t xml:space="preserve">Lecture</t>
  </si>
  <si>
    <t xml:space="preserve">Prudent : moins de points de vente, moins de rotations, prix et abonnement plus bas, lavage, collecte et pertes plus chers, clients payés à 45 jours, pas de second commercial.</t>
  </si>
  <si>
    <t xml:space="preserve">Ambitieux : rythme commercial et usage plus élevés ; davantage de lignes, de contenants et de personnel à financer.</t>
  </si>
  <si>
    <t xml:space="preserve">Le besoin de financement se lit avant tout financement ; le point bas, après financement et service du prêt.</t>
  </si>
  <si>
    <t xml:space="preserve">Pour voir le prudent après mesures : saisir 1 dans Hypothèses, « Règle de décision appliquée ». Le central et l’ambitieux ne changent pas : leur point de décision est atteint.</t>
  </si>
  <si>
    <t xml:space="preserve">Moteur mensuel, scénario prudent</t>
  </si>
  <si>
    <t xml:space="preserve">Calcul mois par mois sur 36 mois. Ne pas saisir ici : toutes les hypothèses sont dans Hypothèses.</t>
  </si>
  <si>
    <t xml:space="preserve">Année</t>
  </si>
  <si>
    <t xml:space="preserve">Mois de l’année</t>
  </si>
  <si>
    <t xml:space="preserve">Mois du plan</t>
  </si>
  <si>
    <t xml:space="preserve">Période</t>
  </si>
  <si>
    <t xml:space="preserve">Ouverture</t>
  </si>
  <si>
    <t xml:space="preserve">Activité</t>
  </si>
  <si>
    <t xml:space="preserve">Nouveaux points de vente</t>
  </si>
  <si>
    <t xml:space="preserve">Points de vente actifs, fin de mois</t>
  </si>
  <si>
    <t xml:space="preserve">Points de vente actifs, moyenne du mois</t>
  </si>
  <si>
    <t xml:space="preserve">Coefficient de saisonnalité</t>
  </si>
  <si>
    <t xml:space="preserve">coef.</t>
  </si>
  <si>
    <t xml:space="preserve">Rotations de contenants</t>
  </si>
  <si>
    <t xml:space="preserve">Facteur d’indexation des prix</t>
  </si>
  <si>
    <t xml:space="preserve">Facteur d’inflation des coûts</t>
  </si>
  <si>
    <t xml:space="preserve">Coûts variables</t>
  </si>
  <si>
    <t xml:space="preserve">Lavage (eau, énergie, produits)</t>
  </si>
  <si>
    <t xml:space="preserve">Total des coûts variables</t>
  </si>
  <si>
    <t xml:space="preserve">Effectifs</t>
  </si>
  <si>
    <t xml:space="preserve">Opérateurs de lavage</t>
  </si>
  <si>
    <t xml:space="preserve">Chauffeurs-livreurs</t>
  </si>
  <si>
    <t xml:space="preserve">Commerciaux</t>
  </si>
  <si>
    <t xml:space="preserve">Responsable d’exploitation</t>
  </si>
  <si>
    <t xml:space="preserve">Effectif total</t>
  </si>
  <si>
    <t xml:space="preserve">Règle de décision (point de décision manqué : engagement de souscription exigé et gel des rémunérations)</t>
  </si>
  <si>
    <t xml:space="preserve">Mesures en vigueur (1 = oui)</t>
  </si>
  <si>
    <t xml:space="preserve">Rémunération des fondateurs</t>
  </si>
  <si>
    <t xml:space="preserve">Salaires chargés des salariés</t>
  </si>
  <si>
    <t xml:space="preserve">Total des charges de personnel</t>
  </si>
  <si>
    <t xml:space="preserve">Énergie fixe et maintenance des lignes</t>
  </si>
  <si>
    <t xml:space="preserve">Location des véhicules</t>
  </si>
  <si>
    <t xml:space="preserve">Assurances, logiciels, honoraires</t>
  </si>
  <si>
    <t xml:space="preserve">Marketing</t>
  </si>
  <si>
    <t xml:space="preserve">Total des charges externes</t>
  </si>
  <si>
    <t xml:space="preserve">Investissements, amortissements et sorties d’actif</t>
  </si>
  <si>
    <t xml:space="preserve">Achat de lignes de lavage</t>
  </si>
  <si>
    <t xml:space="preserve">Contenants nécessaires</t>
  </si>
  <si>
    <t xml:space="preserve">Parc de contenants</t>
  </si>
  <si>
    <t xml:space="preserve">Achat de contenants</t>
  </si>
  <si>
    <t xml:space="preserve">Total des investissements</t>
  </si>
  <si>
    <t xml:space="preserve">Dotations : lignes et local (chaque achat amorti sur sa durée, puis plus rien)</t>
  </si>
  <si>
    <t xml:space="preserve">Part du parc perdue dans le mois</t>
  </si>
  <si>
    <t xml:space="preserve">Part des contenants achetés encore en circulation</t>
  </si>
  <si>
    <t xml:space="preserve">Achats de contenants ramenés à la survie du mois</t>
  </si>
  <si>
    <t xml:space="preserve">Valeur nette des contenants en circulation</t>
  </si>
  <si>
    <t xml:space="preserve">Dotations : contenants en circulation</t>
  </si>
  <si>
    <t xml:space="preserve">Capital restant dû, fin de mois</t>
  </si>
  <si>
    <t xml:space="preserve">Résultat</t>
  </si>
  <si>
    <t xml:space="preserve">Impôt sur les sociétés (calculé en décembre)</t>
  </si>
  <si>
    <t xml:space="preserve">Déficits reportables, fin de mois</t>
  </si>
  <si>
    <t xml:space="preserve">Créances clients, fin de mois</t>
  </si>
  <si>
    <t xml:space="preserve">Dettes fournisseurs, fin de mois</t>
  </si>
  <si>
    <t xml:space="preserve">Décaissements fournisseurs</t>
  </si>
  <si>
    <t xml:space="preserve">Flux de trésorerie d’exploitation</t>
  </si>
  <si>
    <t xml:space="preserve">Engagement de souscription exigé (tranche conditionnelle)</t>
  </si>
  <si>
    <t xml:space="preserve">Trésorerie, fin de mois</t>
  </si>
  <si>
    <t xml:space="preserve">Indicateurs et contrôles</t>
  </si>
  <si>
    <t xml:space="preserve">Mois si EBE négatif ou nul (sinon 0)</t>
  </si>
  <si>
    <t xml:space="preserve">Mois si trésorerie négative (sinon vide)</t>
  </si>
  <si>
    <t xml:space="preserve">Amortissements cumulés des immobilisations en service</t>
  </si>
  <si>
    <t xml:space="preserve">Contrôle : actif moins passif (doit valoir 0)</t>
  </si>
  <si>
    <t xml:space="preserve">Moteur mensuel, scénario central</t>
  </si>
  <si>
    <t xml:space="preserve">Moteur mensuel, scénario ambitieux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</si>
</sst>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\(#,##0\);\-"/>
    <numFmt numFmtId="166" formatCode="0.0%;\(0.0%\);\-"/>
    <numFmt numFmtId="167" formatCode="#,##0.00;\(#,##0.00\);\-"/>
    <numFmt numFmtId="168" formatCode="0"/>
    <numFmt numFmtId="169" formatCode="0.000%"/>
    <numFmt numFmtId="170" formatCode="0.00"/>
    <numFmt numFmtId="171" formatCode="#,##0.0;\(#,##0.0\);\-"/>
    <numFmt numFmtId="172" formatCode="0.0000"/>
    <numFmt numFmtId="173" formatCode="0.00%;\(0.00%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2E35"/>
      <name val="Arial"/>
      <family val="0"/>
      <charset val="1"/>
    </font>
    <font>
      <i val="true"/>
      <sz val="9"/>
      <color rgb="FF5A6E73"/>
      <name val="Arial"/>
      <family val="0"/>
      <charset val="1"/>
    </font>
    <font>
      <b val="true"/>
      <sz val="9"/>
      <color rgb="FF8B2635"/>
      <name val="Arial"/>
      <family val="0"/>
      <charset val="1"/>
    </font>
    <font>
      <b val="true"/>
      <sz val="9"/>
      <color rgb="FF1A2E35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8000"/>
      <name val="Arial"/>
      <family val="0"/>
      <charset val="1"/>
    </font>
    <font>
      <u val="single"/>
      <sz val="9"/>
      <color rgb="FF1A2E35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8"/>
      <color rgb="FF5A6E7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5F0E8"/>
        <bgColor rgb="FFE8F0F2"/>
      </patternFill>
    </fill>
    <fill>
      <patternFill patternType="solid">
        <fgColor rgb="FFE8F0F2"/>
        <bgColor rgb="FFF5F0E8"/>
      </patternFill>
    </fill>
    <fill>
      <patternFill patternType="solid">
        <fgColor rgb="FFFFF7DB"/>
        <bgColor rgb="FFF5F0E8"/>
      </patternFill>
    </fill>
    <fill>
      <patternFill patternType="solid">
        <fgColor rgb="FFF3E9D2"/>
        <bgColor rgb="FFF6E3E5"/>
      </patternFill>
    </fill>
    <fill>
      <patternFill patternType="solid">
        <fgColor rgb="FF1A2E35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1A2E35"/>
      </left>
      <right style="thin">
        <color rgb="FF1A2E35"/>
      </right>
      <top style="thin">
        <color rgb="FF1A2E35"/>
      </top>
      <bottom style="thin">
        <color rgb="FF1A2E35"/>
      </bottom>
      <diagonal/>
    </border>
    <border diagonalUp="false" diagonalDown="false">
      <left/>
      <right/>
      <top/>
      <bottom style="hair">
        <color rgb="FFB8C4C8"/>
      </bottom>
      <diagonal/>
    </border>
    <border diagonalUp="false" diagonalDown="false">
      <left/>
      <right/>
      <top style="thin">
        <color rgb="FF1A2E3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top" textRotation="0" wrapText="false" indent="2" shrinkToFit="false"/>
      <protection locked="true" hidden="false"/>
    </xf>
    <xf numFmtId="166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2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B2635"/>
        <sz val="9"/>
      </font>
    </dxf>
    <dxf>
      <font>
        <name val="Arial"/>
        <charset val="1"/>
        <family val="0"/>
        <b val="1"/>
        <color rgb="FF8B2635"/>
        <sz val="9"/>
      </font>
      <fill>
        <patternFill>
          <bgColor rgb="FFF6E3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8"/>
      <rgbColor rgb="FF808080"/>
      <rgbColor rgb="FF9999FF"/>
      <rgbColor rgb="FF8B2635"/>
      <rgbColor rgb="FFFFF7DB"/>
      <rgbColor rgb="FFE8F0F2"/>
      <rgbColor rgb="FF660066"/>
      <rgbColor rgb="FFFF8080"/>
      <rgbColor rgb="FF0066CC"/>
      <rgbColor rgb="FFF6E3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0E8"/>
      <rgbColor rgb="FFCCFFCC"/>
      <rgbColor rgb="FFF3E9D2"/>
      <rgbColor rgb="FF99CCFF"/>
      <rgbColor rgb="FFFF99CC"/>
      <rgbColor rgb="FFCC99FF"/>
      <rgbColor rgb="FFC9A96E"/>
      <rgbColor rgb="FF3366FF"/>
      <rgbColor rgb="FF33CCCC"/>
      <rgbColor rgb="FF99CC00"/>
      <rgbColor rgb="FFFFCC00"/>
      <rgbColor rgb="FFFF9900"/>
      <rgbColor rgb="FFFF6600"/>
      <rgbColor rgb="FF5A6E73"/>
      <rgbColor rgb="FFA0B4BA"/>
      <rgbColor rgb="FF003366"/>
      <rgbColor rgb="FF339966"/>
      <rgbColor rgb="FF003300"/>
      <rgbColor rgb="FF333300"/>
      <rgbColor rgb="FF993300"/>
      <rgbColor rgb="FF993366"/>
      <rgbColor rgb="FF333399"/>
      <rgbColor rgb="FF1A2E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ezura.fr/contact/?objet=exemple&amp;utm_source=demo&amp;utm_content=modele-financi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</row>
    <row r="5" customFormat="false" ht="15" hidden="false" customHeight="false" outlineLevel="0" collapsed="false">
      <c r="A5" s="5" t="s">
        <v>3</v>
      </c>
    </row>
    <row r="6" customFormat="false" ht="22.35" hidden="false" customHeight="false" outlineLevel="0" collapsed="false">
      <c r="A6" s="6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6" t="s">
        <v>6</v>
      </c>
    </row>
    <row r="9" customFormat="false" ht="15" hidden="false" customHeight="false" outlineLevel="0" collapsed="false">
      <c r="A9" s="5" t="s">
        <v>7</v>
      </c>
    </row>
    <row r="10" customFormat="false" ht="15" hidden="false" customHeight="false" outlineLevel="0" collapsed="false">
      <c r="A10" s="6" t="s">
        <v>8</v>
      </c>
    </row>
    <row r="11" customFormat="false" ht="15" hidden="false" customHeight="false" outlineLevel="0" collapsed="false">
      <c r="A11" s="6" t="s">
        <v>9</v>
      </c>
    </row>
    <row r="12" customFormat="false" ht="15" hidden="false" customHeight="false" outlineLevel="0" collapsed="false">
      <c r="A12" s="6" t="s">
        <v>10</v>
      </c>
    </row>
    <row r="13" customFormat="false" ht="15" hidden="false" customHeight="false" outlineLevel="0" collapsed="false">
      <c r="A13" s="6" t="s">
        <v>11</v>
      </c>
    </row>
    <row r="14" customFormat="false" ht="43.25" hidden="false" customHeight="false" outlineLevel="0" collapsed="false">
      <c r="A14" s="6" t="s">
        <v>12</v>
      </c>
    </row>
    <row r="15" customFormat="false" ht="15" hidden="false" customHeight="false" outlineLevel="0" collapsed="false">
      <c r="A15" s="5" t="s">
        <v>13</v>
      </c>
    </row>
    <row r="16" customFormat="false" ht="15" hidden="false" customHeight="false" outlineLevel="0" collapsed="false">
      <c r="A16" s="6" t="s">
        <v>14</v>
      </c>
    </row>
    <row r="17" customFormat="false" ht="15" hidden="false" customHeight="false" outlineLevel="0" collapsed="false">
      <c r="A17" s="6" t="s">
        <v>15</v>
      </c>
    </row>
    <row r="18" customFormat="false" ht="15" hidden="false" customHeight="false" outlineLevel="0" collapsed="false">
      <c r="A18" s="6" t="s">
        <v>16</v>
      </c>
    </row>
    <row r="19" customFormat="false" ht="15" hidden="false" customHeight="false" outlineLevel="0" collapsed="false">
      <c r="A19" s="6" t="s">
        <v>17</v>
      </c>
    </row>
    <row r="20" customFormat="false" ht="15" hidden="false" customHeight="false" outlineLevel="0" collapsed="false">
      <c r="A20" s="6" t="s">
        <v>18</v>
      </c>
    </row>
    <row r="21" customFormat="false" ht="15" hidden="false" customHeight="false" outlineLevel="0" collapsed="false">
      <c r="A21" s="6" t="s">
        <v>19</v>
      </c>
    </row>
    <row r="22" customFormat="false" ht="15" hidden="false" customHeight="false" outlineLevel="0" collapsed="false">
      <c r="A22" s="6" t="s">
        <v>20</v>
      </c>
    </row>
    <row r="23" customFormat="false" ht="15" hidden="false" customHeight="false" outlineLevel="0" collapsed="false">
      <c r="A23" s="6" t="s">
        <v>21</v>
      </c>
    </row>
    <row r="24" customFormat="false" ht="15" hidden="false" customHeight="false" outlineLevel="0" collapsed="false">
      <c r="A24" s="5" t="s">
        <v>22</v>
      </c>
    </row>
    <row r="25" customFormat="false" ht="15" hidden="false" customHeight="false" outlineLevel="0" collapsed="false">
      <c r="A25" s="7" t="s">
        <v>23</v>
      </c>
    </row>
    <row r="26" customFormat="false" ht="15" hidden="false" customHeight="false" outlineLevel="0" collapsed="false">
      <c r="A26" s="6" t="s">
        <v>24</v>
      </c>
    </row>
    <row r="27" customFormat="false" ht="15" hidden="false" customHeight="false" outlineLevel="0" collapsed="false">
      <c r="A27" s="8" t="s">
        <v>25</v>
      </c>
    </row>
    <row r="28" customFormat="false" ht="15" hidden="false" customHeight="false" outlineLevel="0" collapsed="false">
      <c r="A28" s="6" t="s">
        <v>26</v>
      </c>
    </row>
    <row r="29" customFormat="false" ht="22.35" hidden="false" customHeight="false" outlineLevel="0" collapsed="false">
      <c r="A29" s="6" t="s">
        <v>27</v>
      </c>
    </row>
    <row r="30" customFormat="false" ht="15" hidden="false" customHeight="false" outlineLevel="0" collapsed="false">
      <c r="A30" s="6" t="s">
        <v>28</v>
      </c>
    </row>
    <row r="31" customFormat="false" ht="15" hidden="false" customHeight="false" outlineLevel="0" collapsed="false">
      <c r="A31" s="5" t="s">
        <v>29</v>
      </c>
    </row>
    <row r="32" customFormat="false" ht="22.35" hidden="false" customHeight="false" outlineLevel="0" collapsed="false">
      <c r="A32" s="6" t="s">
        <v>30</v>
      </c>
    </row>
    <row r="33" customFormat="false" ht="15" hidden="false" customHeight="false" outlineLevel="0" collapsed="false">
      <c r="A33" s="6" t="s">
        <v>31</v>
      </c>
    </row>
    <row r="34" customFormat="false" ht="22.35" hidden="false" customHeight="false" outlineLevel="0" collapsed="false">
      <c r="A34" s="6" t="s">
        <v>32</v>
      </c>
    </row>
    <row r="35" customFormat="false" ht="15" hidden="false" customHeight="false" outlineLevel="0" collapsed="false">
      <c r="A35" s="6" t="s">
        <v>33</v>
      </c>
    </row>
    <row r="36" customFormat="false" ht="15" hidden="false" customHeight="false" outlineLevel="0" collapsed="false">
      <c r="A36" s="6" t="s">
        <v>34</v>
      </c>
    </row>
    <row r="37" customFormat="false" ht="22.35" hidden="false" customHeight="false" outlineLevel="0" collapsed="false">
      <c r="A37" s="6" t="s">
        <v>35</v>
      </c>
    </row>
    <row r="38" customFormat="false" ht="15" hidden="false" customHeight="false" outlineLevel="0" collapsed="false">
      <c r="A38" s="6" t="s">
        <v>36</v>
      </c>
    </row>
    <row r="39" customFormat="false" ht="15" hidden="false" customHeight="false" outlineLevel="0" collapsed="false">
      <c r="A39" s="6" t="s">
        <v>37</v>
      </c>
    </row>
    <row r="40" customFormat="false" ht="15" hidden="false" customHeight="false" outlineLevel="0" collapsed="false">
      <c r="A40" s="5" t="s">
        <v>38</v>
      </c>
    </row>
    <row r="41" customFormat="false" ht="22.35" hidden="false" customHeight="false" outlineLevel="0" collapsed="false">
      <c r="A41" s="6" t="s">
        <v>39</v>
      </c>
    </row>
    <row r="42" customFormat="false" ht="22.35" hidden="false" customHeight="false" outlineLevel="0" collapsed="false">
      <c r="A42" s="6" t="s">
        <v>40</v>
      </c>
    </row>
    <row r="43" customFormat="false" ht="15" hidden="false" customHeight="false" outlineLevel="0" collapsed="false">
      <c r="A43" s="6" t="s">
        <v>41</v>
      </c>
    </row>
    <row r="44" customFormat="false" ht="15" hidden="false" customHeight="false" outlineLevel="0" collapsed="false">
      <c r="A44" s="6" t="s">
        <v>42</v>
      </c>
    </row>
    <row r="46" customFormat="false" ht="15" hidden="false" customHeight="false" outlineLevel="0" collapsed="false">
      <c r="A46" s="2" t="s">
        <v>43</v>
      </c>
    </row>
    <row r="48" customFormat="false" ht="15" hidden="false" customHeight="false" outlineLevel="0" collapsed="false">
      <c r="A48" s="5" t="s">
        <v>44</v>
      </c>
    </row>
    <row r="49" customFormat="false" ht="15" hidden="false" customHeight="false" outlineLevel="0" collapsed="false">
      <c r="A49" s="9" t="s">
        <v>45</v>
      </c>
    </row>
    <row r="50" customFormat="false" ht="15" hidden="false" customHeight="false" outlineLevel="0" collapsed="false">
      <c r="A50" s="10" t="s">
        <v>46</v>
      </c>
    </row>
  </sheetData>
  <hyperlinks>
    <hyperlink ref="A49" r:id="rId1" location="formulaire" display="Ce document est un exemple. Pour votre cas : mezura.fr/contact/?objet=exemple&amp;utm_source=demo&amp;utm_content=modele-financier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96E"/>
    <pageSetUpPr fitToPage="true"/>
  </sheetPr>
  <dimension ref="A1:H9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6" min="3" style="0" width="12"/>
    <col collapsed="false" customWidth="true" hidden="false" outlineLevel="0" max="7" min="7" style="0" width="70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1" t="s">
        <v>49</v>
      </c>
      <c r="C5" s="12" t="n">
        <v>2</v>
      </c>
      <c r="D5" s="11" t="str">
        <f aca="false">CHOOSE(scenario,"Prudent","Central","Ambitieux")</f>
        <v>Central</v>
      </c>
      <c r="E5" s="13" t="s">
        <v>50</v>
      </c>
    </row>
    <row r="7" customFormat="false" ht="15" hidden="false" customHeight="false" outlineLevel="0" collapsed="false">
      <c r="A7" s="14" t="s">
        <v>51</v>
      </c>
      <c r="B7" s="14" t="s">
        <v>52</v>
      </c>
      <c r="C7" s="14" t="s">
        <v>53</v>
      </c>
      <c r="D7" s="14" t="s">
        <v>54</v>
      </c>
      <c r="E7" s="14" t="s">
        <v>55</v>
      </c>
      <c r="F7" s="14" t="s">
        <v>56</v>
      </c>
      <c r="G7" s="14" t="s">
        <v>57</v>
      </c>
    </row>
    <row r="8" customFormat="false" ht="15" hidden="false" customHeight="false" outlineLevel="0" collapsed="false">
      <c r="A8" s="15" t="s">
        <v>58</v>
      </c>
      <c r="B8" s="16" t="s">
        <v>59</v>
      </c>
      <c r="C8" s="17" t="n">
        <v>4</v>
      </c>
      <c r="D8" s="17" t="n">
        <v>5</v>
      </c>
      <c r="E8" s="17" t="n">
        <v>6</v>
      </c>
      <c r="F8" s="18" t="n">
        <f aca="false">CHOOSE(scenario,C8,D8,E8)</f>
        <v>5</v>
      </c>
      <c r="G8" s="19" t="s">
        <v>60</v>
      </c>
    </row>
    <row r="9" customFormat="false" ht="15" hidden="false" customHeight="false" outlineLevel="0" collapsed="false">
      <c r="A9" s="15" t="s">
        <v>61</v>
      </c>
      <c r="B9" s="16" t="s">
        <v>59</v>
      </c>
      <c r="C9" s="17" t="n">
        <v>7</v>
      </c>
      <c r="D9" s="17" t="n">
        <v>10</v>
      </c>
      <c r="E9" s="17" t="n">
        <v>12</v>
      </c>
      <c r="F9" s="18" t="n">
        <f aca="false">CHOOSE(scenario,C9,D9,E9)</f>
        <v>10</v>
      </c>
      <c r="G9" s="19" t="s">
        <v>62</v>
      </c>
    </row>
    <row r="10" customFormat="false" ht="15" hidden="false" customHeight="false" outlineLevel="0" collapsed="false">
      <c r="A10" s="15" t="s">
        <v>63</v>
      </c>
      <c r="B10" s="16" t="s">
        <v>59</v>
      </c>
      <c r="C10" s="17" t="n">
        <v>9</v>
      </c>
      <c r="D10" s="17" t="n">
        <v>13</v>
      </c>
      <c r="E10" s="17" t="n">
        <v>17</v>
      </c>
      <c r="F10" s="18" t="n">
        <f aca="false">CHOOSE(scenario,C10,D10,E10)</f>
        <v>13</v>
      </c>
      <c r="G10" s="19" t="s">
        <v>64</v>
      </c>
    </row>
    <row r="11" customFormat="false" ht="15" hidden="false" customHeight="false" outlineLevel="0" collapsed="false">
      <c r="A11" s="15" t="s">
        <v>65</v>
      </c>
      <c r="B11" s="16" t="s">
        <v>66</v>
      </c>
      <c r="C11" s="20" t="n">
        <v>0.02</v>
      </c>
      <c r="D11" s="20" t="n">
        <v>0.012</v>
      </c>
      <c r="E11" s="20" t="n">
        <v>0.008</v>
      </c>
      <c r="F11" s="21" t="n">
        <f aca="false">CHOOSE(scenario,C11,D11,E11)</f>
        <v>0.012</v>
      </c>
      <c r="G11" s="19" t="s">
        <v>67</v>
      </c>
    </row>
    <row r="12" customFormat="false" ht="15" hidden="false" customHeight="false" outlineLevel="0" collapsed="false">
      <c r="A12" s="15" t="s">
        <v>68</v>
      </c>
      <c r="B12" s="16" t="s">
        <v>59</v>
      </c>
      <c r="C12" s="17" t="n">
        <v>600</v>
      </c>
      <c r="D12" s="17" t="n">
        <v>720</v>
      </c>
      <c r="E12" s="17" t="n">
        <v>820</v>
      </c>
      <c r="F12" s="18" t="n">
        <f aca="false">CHOOSE(scenario,C12,D12,E12)</f>
        <v>720</v>
      </c>
      <c r="G12" s="19" t="s">
        <v>69</v>
      </c>
    </row>
    <row r="13" customFormat="false" ht="15" hidden="false" customHeight="false" outlineLevel="0" collapsed="false">
      <c r="A13" s="15" t="s">
        <v>70</v>
      </c>
      <c r="B13" s="16" t="s">
        <v>71</v>
      </c>
      <c r="C13" s="22" t="n">
        <v>0.46</v>
      </c>
      <c r="D13" s="22" t="n">
        <v>0.5</v>
      </c>
      <c r="E13" s="22" t="n">
        <v>0.52</v>
      </c>
      <c r="F13" s="23" t="n">
        <f aca="false">CHOOSE(scenario,C13,D13,E13)</f>
        <v>0.5</v>
      </c>
      <c r="G13" s="19" t="s">
        <v>72</v>
      </c>
    </row>
    <row r="14" customFormat="false" ht="15" hidden="false" customHeight="false" outlineLevel="0" collapsed="false">
      <c r="A14" s="15" t="s">
        <v>73</v>
      </c>
      <c r="B14" s="16" t="s">
        <v>71</v>
      </c>
      <c r="C14" s="17" t="n">
        <v>35</v>
      </c>
      <c r="D14" s="17" t="n">
        <v>39</v>
      </c>
      <c r="E14" s="17" t="n">
        <v>39</v>
      </c>
      <c r="F14" s="18" t="n">
        <f aca="false">CHOOSE(scenario,C14,D14,E14)</f>
        <v>39</v>
      </c>
      <c r="G14" s="19" t="s">
        <v>74</v>
      </c>
    </row>
    <row r="15" customFormat="false" ht="15" hidden="false" customHeight="false" outlineLevel="0" collapsed="false">
      <c r="A15" s="15" t="s">
        <v>75</v>
      </c>
      <c r="B15" s="16" t="s">
        <v>71</v>
      </c>
      <c r="C15" s="22" t="n">
        <v>0.06</v>
      </c>
      <c r="D15" s="22" t="n">
        <v>0.05</v>
      </c>
      <c r="E15" s="22" t="n">
        <v>0.05</v>
      </c>
      <c r="F15" s="23" t="n">
        <f aca="false">CHOOSE(scenario,C15,D15,E15)</f>
        <v>0.05</v>
      </c>
      <c r="G15" s="19" t="s">
        <v>76</v>
      </c>
    </row>
    <row r="16" customFormat="false" ht="15" hidden="false" customHeight="false" outlineLevel="0" collapsed="false">
      <c r="A16" s="15" t="s">
        <v>77</v>
      </c>
      <c r="B16" s="16" t="s">
        <v>71</v>
      </c>
      <c r="C16" s="22" t="n">
        <v>0.09</v>
      </c>
      <c r="D16" s="22" t="n">
        <v>0.08</v>
      </c>
      <c r="E16" s="22" t="n">
        <v>0.08</v>
      </c>
      <c r="F16" s="23" t="n">
        <f aca="false">CHOOSE(scenario,C16,D16,E16)</f>
        <v>0.08</v>
      </c>
      <c r="G16" s="19" t="s">
        <v>78</v>
      </c>
    </row>
    <row r="17" customFormat="false" ht="15" hidden="false" customHeight="false" outlineLevel="0" collapsed="false">
      <c r="A17" s="15" t="s">
        <v>79</v>
      </c>
      <c r="B17" s="16" t="s">
        <v>66</v>
      </c>
      <c r="C17" s="20" t="n">
        <v>0.03</v>
      </c>
      <c r="D17" s="20" t="n">
        <v>0.02</v>
      </c>
      <c r="E17" s="20" t="n">
        <v>0.015</v>
      </c>
      <c r="F17" s="21" t="n">
        <f aca="false">CHOOSE(scenario,C17,D17,E17)</f>
        <v>0.02</v>
      </c>
      <c r="G17" s="19" t="s">
        <v>80</v>
      </c>
    </row>
    <row r="18" customFormat="false" ht="15" hidden="false" customHeight="false" outlineLevel="0" collapsed="false">
      <c r="A18" s="15" t="s">
        <v>81</v>
      </c>
      <c r="B18" s="16" t="s">
        <v>82</v>
      </c>
      <c r="C18" s="17" t="n">
        <v>45</v>
      </c>
      <c r="D18" s="17" t="n">
        <v>30</v>
      </c>
      <c r="E18" s="17" t="n">
        <v>30</v>
      </c>
      <c r="F18" s="18" t="n">
        <f aca="false">CHOOSE(scenario,C18,D18,E18)</f>
        <v>30</v>
      </c>
      <c r="G18" s="19" t="s">
        <v>83</v>
      </c>
    </row>
    <row r="19" customFormat="false" ht="15" hidden="false" customHeight="false" outlineLevel="0" collapsed="false">
      <c r="A19" s="15" t="s">
        <v>84</v>
      </c>
      <c r="B19" s="16" t="s">
        <v>85</v>
      </c>
      <c r="C19" s="17" t="n">
        <v>0</v>
      </c>
      <c r="D19" s="17" t="n">
        <v>25</v>
      </c>
      <c r="E19" s="17" t="n">
        <v>19</v>
      </c>
      <c r="F19" s="18" t="n">
        <f aca="false">CHOOSE(scenario,C19,D19,E19)</f>
        <v>25</v>
      </c>
      <c r="G19" s="19" t="s">
        <v>86</v>
      </c>
    </row>
    <row r="21" customFormat="false" ht="15" hidden="false" customHeight="false" outlineLevel="0" collapsed="false">
      <c r="A21" s="14" t="s">
        <v>87</v>
      </c>
      <c r="B21" s="14" t="s">
        <v>52</v>
      </c>
      <c r="C21" s="14" t="s">
        <v>88</v>
      </c>
      <c r="D21" s="14"/>
      <c r="E21" s="14"/>
      <c r="F21" s="14"/>
      <c r="G21" s="14" t="s">
        <v>57</v>
      </c>
    </row>
    <row r="22" customFormat="false" ht="15" hidden="false" customHeight="false" outlineLevel="0" collapsed="false">
      <c r="A22" s="15" t="s">
        <v>89</v>
      </c>
      <c r="B22" s="16" t="s">
        <v>90</v>
      </c>
      <c r="C22" s="24" t="n">
        <v>2027</v>
      </c>
      <c r="D22" s="25"/>
      <c r="E22" s="25"/>
      <c r="F22" s="25"/>
      <c r="G22" s="19" t="s">
        <v>91</v>
      </c>
    </row>
    <row r="23" customFormat="false" ht="15" hidden="false" customHeight="false" outlineLevel="0" collapsed="false">
      <c r="A23" s="15" t="s">
        <v>92</v>
      </c>
      <c r="B23" s="16" t="s">
        <v>82</v>
      </c>
      <c r="C23" s="17" t="n">
        <v>30</v>
      </c>
      <c r="D23" s="25"/>
      <c r="E23" s="25"/>
      <c r="F23" s="25"/>
      <c r="G23" s="19" t="s">
        <v>93</v>
      </c>
    </row>
    <row r="24" customFormat="false" ht="15" hidden="false" customHeight="false" outlineLevel="0" collapsed="false">
      <c r="A24" s="15" t="s">
        <v>94</v>
      </c>
      <c r="B24" s="16" t="s">
        <v>71</v>
      </c>
      <c r="C24" s="22" t="n">
        <v>2.2</v>
      </c>
      <c r="D24" s="25"/>
      <c r="E24" s="25"/>
      <c r="F24" s="25"/>
      <c r="G24" s="19" t="s">
        <v>95</v>
      </c>
    </row>
    <row r="25" customFormat="false" ht="15" hidden="false" customHeight="false" outlineLevel="0" collapsed="false">
      <c r="A25" s="15" t="s">
        <v>96</v>
      </c>
      <c r="B25" s="16" t="s">
        <v>59</v>
      </c>
      <c r="C25" s="17" t="n">
        <v>5</v>
      </c>
      <c r="D25" s="25"/>
      <c r="E25" s="25"/>
      <c r="F25" s="25"/>
      <c r="G25" s="19" t="s">
        <v>97</v>
      </c>
    </row>
    <row r="26" customFormat="false" ht="15" hidden="false" customHeight="false" outlineLevel="0" collapsed="false">
      <c r="A26" s="15" t="s">
        <v>98</v>
      </c>
      <c r="B26" s="16" t="s">
        <v>66</v>
      </c>
      <c r="C26" s="20" t="n">
        <v>0.4</v>
      </c>
      <c r="D26" s="25"/>
      <c r="E26" s="25"/>
      <c r="F26" s="25"/>
      <c r="G26" s="19" t="s">
        <v>99</v>
      </c>
    </row>
    <row r="27" customFormat="false" ht="15" hidden="false" customHeight="false" outlineLevel="0" collapsed="false">
      <c r="A27" s="15" t="s">
        <v>100</v>
      </c>
      <c r="B27" s="16" t="s">
        <v>59</v>
      </c>
      <c r="C27" s="17" t="n">
        <v>8000</v>
      </c>
      <c r="D27" s="25"/>
      <c r="E27" s="25"/>
      <c r="F27" s="25"/>
      <c r="G27" s="19" t="s">
        <v>101</v>
      </c>
    </row>
    <row r="28" customFormat="false" ht="15" hidden="false" customHeight="false" outlineLevel="0" collapsed="false">
      <c r="A28" s="15" t="s">
        <v>102</v>
      </c>
      <c r="B28" s="16" t="s">
        <v>66</v>
      </c>
      <c r="C28" s="20" t="n">
        <v>0.02</v>
      </c>
      <c r="D28" s="25"/>
      <c r="E28" s="25"/>
      <c r="F28" s="25"/>
      <c r="G28" s="19" t="s">
        <v>103</v>
      </c>
    </row>
    <row r="29" customFormat="false" ht="15" hidden="false" customHeight="false" outlineLevel="0" collapsed="false">
      <c r="A29" s="15" t="s">
        <v>104</v>
      </c>
      <c r="B29" s="16" t="s">
        <v>66</v>
      </c>
      <c r="C29" s="20" t="n">
        <v>0.02</v>
      </c>
      <c r="D29" s="25"/>
      <c r="E29" s="25"/>
      <c r="F29" s="25"/>
      <c r="G29" s="19" t="s">
        <v>103</v>
      </c>
    </row>
    <row r="30" customFormat="false" ht="15" hidden="false" customHeight="false" outlineLevel="0" collapsed="false">
      <c r="A30" s="15" t="s">
        <v>105</v>
      </c>
      <c r="B30" s="16" t="s">
        <v>106</v>
      </c>
      <c r="C30" s="17" t="n">
        <v>60000</v>
      </c>
      <c r="D30" s="25"/>
      <c r="E30" s="25"/>
      <c r="F30" s="25"/>
      <c r="G30" s="19" t="s">
        <v>107</v>
      </c>
    </row>
    <row r="31" customFormat="false" ht="15" hidden="false" customHeight="false" outlineLevel="0" collapsed="false">
      <c r="A31" s="15" t="s">
        <v>108</v>
      </c>
      <c r="B31" s="16" t="s">
        <v>106</v>
      </c>
      <c r="C31" s="17" t="n">
        <v>45000</v>
      </c>
      <c r="D31" s="25"/>
      <c r="E31" s="25"/>
      <c r="F31" s="25"/>
      <c r="G31" s="19" t="s">
        <v>109</v>
      </c>
    </row>
    <row r="32" customFormat="false" ht="15" hidden="false" customHeight="false" outlineLevel="0" collapsed="false">
      <c r="A32" s="15" t="s">
        <v>110</v>
      </c>
      <c r="B32" s="16" t="s">
        <v>106</v>
      </c>
      <c r="C32" s="17" t="n">
        <v>130000</v>
      </c>
      <c r="D32" s="25"/>
      <c r="E32" s="25"/>
      <c r="F32" s="25"/>
      <c r="G32" s="19" t="s">
        <v>111</v>
      </c>
    </row>
    <row r="33" customFormat="false" ht="15" hidden="false" customHeight="false" outlineLevel="0" collapsed="false">
      <c r="A33" s="15" t="s">
        <v>112</v>
      </c>
      <c r="B33" s="16" t="s">
        <v>66</v>
      </c>
      <c r="C33" s="20" t="n">
        <v>0.85</v>
      </c>
      <c r="D33" s="25"/>
      <c r="E33" s="25"/>
      <c r="F33" s="25"/>
      <c r="G33" s="19" t="s">
        <v>113</v>
      </c>
    </row>
    <row r="34" customFormat="false" ht="15" hidden="false" customHeight="false" outlineLevel="0" collapsed="false">
      <c r="A34" s="15" t="s">
        <v>114</v>
      </c>
      <c r="B34" s="16" t="s">
        <v>71</v>
      </c>
      <c r="C34" s="17" t="n">
        <v>150000</v>
      </c>
      <c r="D34" s="25"/>
      <c r="E34" s="25"/>
      <c r="F34" s="25"/>
      <c r="G34" s="19" t="s">
        <v>115</v>
      </c>
    </row>
    <row r="35" customFormat="false" ht="15" hidden="false" customHeight="false" outlineLevel="0" collapsed="false">
      <c r="A35" s="15" t="s">
        <v>116</v>
      </c>
      <c r="B35" s="16" t="s">
        <v>85</v>
      </c>
      <c r="C35" s="17" t="n">
        <v>84</v>
      </c>
      <c r="D35" s="25"/>
      <c r="E35" s="25"/>
      <c r="F35" s="25"/>
      <c r="G35" s="19" t="s">
        <v>117</v>
      </c>
    </row>
    <row r="36" customFormat="false" ht="15" hidden="false" customHeight="false" outlineLevel="0" collapsed="false">
      <c r="A36" s="15" t="s">
        <v>118</v>
      </c>
      <c r="B36" s="16" t="s">
        <v>71</v>
      </c>
      <c r="C36" s="17" t="n">
        <v>70000</v>
      </c>
      <c r="D36" s="25"/>
      <c r="E36" s="25"/>
      <c r="F36" s="25"/>
      <c r="G36" s="19" t="s">
        <v>119</v>
      </c>
    </row>
    <row r="37" customFormat="false" ht="15" hidden="false" customHeight="false" outlineLevel="0" collapsed="false">
      <c r="A37" s="15" t="s">
        <v>120</v>
      </c>
      <c r="B37" s="16" t="s">
        <v>85</v>
      </c>
      <c r="C37" s="17" t="n">
        <v>1</v>
      </c>
      <c r="D37" s="25"/>
      <c r="E37" s="25"/>
      <c r="F37" s="25"/>
      <c r="G37" s="19" t="s">
        <v>121</v>
      </c>
    </row>
    <row r="38" customFormat="false" ht="15" hidden="false" customHeight="false" outlineLevel="0" collapsed="false">
      <c r="A38" s="15" t="s">
        <v>122</v>
      </c>
      <c r="B38" s="16" t="s">
        <v>85</v>
      </c>
      <c r="C38" s="17" t="n">
        <v>120</v>
      </c>
      <c r="D38" s="25"/>
      <c r="E38" s="25"/>
      <c r="F38" s="25"/>
      <c r="G38" s="19" t="s">
        <v>123</v>
      </c>
    </row>
    <row r="39" customFormat="false" ht="15" hidden="false" customHeight="false" outlineLevel="0" collapsed="false">
      <c r="A39" s="15" t="s">
        <v>124</v>
      </c>
      <c r="B39" s="16" t="s">
        <v>85</v>
      </c>
      <c r="C39" s="17" t="n">
        <v>36</v>
      </c>
      <c r="D39" s="25"/>
      <c r="E39" s="25"/>
      <c r="F39" s="25"/>
      <c r="G39" s="19" t="s">
        <v>125</v>
      </c>
    </row>
    <row r="40" customFormat="false" ht="15" hidden="false" customHeight="false" outlineLevel="0" collapsed="false">
      <c r="A40" s="15" t="s">
        <v>126</v>
      </c>
      <c r="B40" s="16" t="s">
        <v>59</v>
      </c>
      <c r="C40" s="17" t="n">
        <v>2</v>
      </c>
      <c r="D40" s="25"/>
      <c r="E40" s="25"/>
      <c r="F40" s="25"/>
      <c r="G40" s="19" t="s">
        <v>127</v>
      </c>
    </row>
    <row r="41" customFormat="false" ht="15" hidden="false" customHeight="false" outlineLevel="0" collapsed="false">
      <c r="A41" s="15" t="s">
        <v>128</v>
      </c>
      <c r="B41" s="16" t="s">
        <v>129</v>
      </c>
      <c r="C41" s="17" t="n">
        <v>30000</v>
      </c>
      <c r="D41" s="25"/>
      <c r="E41" s="25"/>
      <c r="F41" s="25"/>
      <c r="G41" s="19" t="s">
        <v>130</v>
      </c>
    </row>
    <row r="42" customFormat="false" ht="15" hidden="false" customHeight="false" outlineLevel="0" collapsed="false">
      <c r="A42" s="15" t="s">
        <v>131</v>
      </c>
      <c r="B42" s="16" t="s">
        <v>129</v>
      </c>
      <c r="C42" s="17" t="n">
        <v>42000</v>
      </c>
      <c r="D42" s="25"/>
      <c r="E42" s="25"/>
      <c r="F42" s="25"/>
      <c r="G42" s="19"/>
    </row>
    <row r="43" customFormat="false" ht="15" hidden="false" customHeight="false" outlineLevel="0" collapsed="false">
      <c r="A43" s="15" t="s">
        <v>132</v>
      </c>
      <c r="B43" s="16" t="s">
        <v>129</v>
      </c>
      <c r="C43" s="17" t="n">
        <v>54000</v>
      </c>
      <c r="D43" s="25"/>
      <c r="E43" s="25"/>
      <c r="F43" s="25"/>
      <c r="G43" s="19"/>
    </row>
    <row r="44" customFormat="false" ht="15" hidden="false" customHeight="false" outlineLevel="0" collapsed="false">
      <c r="A44" s="15" t="s">
        <v>133</v>
      </c>
      <c r="B44" s="16" t="s">
        <v>129</v>
      </c>
      <c r="C44" s="17" t="n">
        <v>34000</v>
      </c>
      <c r="D44" s="25"/>
      <c r="E44" s="25"/>
      <c r="F44" s="25"/>
      <c r="G44" s="19" t="s">
        <v>134</v>
      </c>
    </row>
    <row r="45" customFormat="false" ht="15" hidden="false" customHeight="false" outlineLevel="0" collapsed="false">
      <c r="A45" s="15" t="s">
        <v>135</v>
      </c>
      <c r="B45" s="16" t="s">
        <v>129</v>
      </c>
      <c r="C45" s="17" t="n">
        <v>36000</v>
      </c>
      <c r="D45" s="25"/>
      <c r="E45" s="25"/>
      <c r="F45" s="25"/>
      <c r="G45" s="19" t="s">
        <v>134</v>
      </c>
    </row>
    <row r="46" customFormat="false" ht="15" hidden="false" customHeight="false" outlineLevel="0" collapsed="false">
      <c r="A46" s="15" t="s">
        <v>136</v>
      </c>
      <c r="B46" s="16" t="s">
        <v>129</v>
      </c>
      <c r="C46" s="17" t="n">
        <v>58000</v>
      </c>
      <c r="D46" s="25"/>
      <c r="E46" s="25"/>
      <c r="F46" s="25"/>
      <c r="G46" s="19" t="s">
        <v>137</v>
      </c>
    </row>
    <row r="47" customFormat="false" ht="15" hidden="false" customHeight="false" outlineLevel="0" collapsed="false">
      <c r="A47" s="15" t="s">
        <v>138</v>
      </c>
      <c r="B47" s="16" t="s">
        <v>129</v>
      </c>
      <c r="C47" s="17" t="n">
        <v>52000</v>
      </c>
      <c r="D47" s="25"/>
      <c r="E47" s="25"/>
      <c r="F47" s="25"/>
      <c r="G47" s="19" t="s">
        <v>134</v>
      </c>
    </row>
    <row r="48" customFormat="false" ht="15" hidden="false" customHeight="false" outlineLevel="0" collapsed="false">
      <c r="A48" s="15" t="s">
        <v>139</v>
      </c>
      <c r="B48" s="16" t="s">
        <v>85</v>
      </c>
      <c r="C48" s="17" t="n">
        <v>4</v>
      </c>
      <c r="D48" s="25"/>
      <c r="E48" s="25"/>
      <c r="F48" s="25"/>
      <c r="G48" s="19" t="s">
        <v>140</v>
      </c>
    </row>
    <row r="49" customFormat="false" ht="15" hidden="false" customHeight="false" outlineLevel="0" collapsed="false">
      <c r="A49" s="15" t="s">
        <v>141</v>
      </c>
      <c r="B49" s="16" t="s">
        <v>85</v>
      </c>
      <c r="C49" s="17" t="n">
        <v>13</v>
      </c>
      <c r="D49" s="25"/>
      <c r="E49" s="25"/>
      <c r="F49" s="25"/>
      <c r="G49" s="19" t="s">
        <v>142</v>
      </c>
    </row>
    <row r="50" customFormat="false" ht="15" hidden="false" customHeight="false" outlineLevel="0" collapsed="false">
      <c r="A50" s="15" t="s">
        <v>143</v>
      </c>
      <c r="B50" s="16" t="s">
        <v>144</v>
      </c>
      <c r="C50" s="17" t="n">
        <v>4200</v>
      </c>
      <c r="D50" s="25"/>
      <c r="E50" s="25"/>
      <c r="F50" s="25"/>
      <c r="G50" s="19" t="s">
        <v>145</v>
      </c>
    </row>
    <row r="51" customFormat="false" ht="15" hidden="false" customHeight="false" outlineLevel="0" collapsed="false">
      <c r="A51" s="15" t="s">
        <v>146</v>
      </c>
      <c r="B51" s="16" t="s">
        <v>144</v>
      </c>
      <c r="C51" s="17" t="n">
        <v>600</v>
      </c>
      <c r="D51" s="25"/>
      <c r="E51" s="25"/>
      <c r="F51" s="25"/>
      <c r="G51" s="19" t="s">
        <v>147</v>
      </c>
    </row>
    <row r="52" customFormat="false" ht="15" hidden="false" customHeight="false" outlineLevel="0" collapsed="false">
      <c r="A52" s="15" t="s">
        <v>148</v>
      </c>
      <c r="B52" s="16" t="s">
        <v>144</v>
      </c>
      <c r="C52" s="17" t="n">
        <v>750</v>
      </c>
      <c r="D52" s="25"/>
      <c r="E52" s="25"/>
      <c r="F52" s="25"/>
      <c r="G52" s="19" t="s">
        <v>149</v>
      </c>
    </row>
    <row r="53" customFormat="false" ht="15" hidden="false" customHeight="false" outlineLevel="0" collapsed="false">
      <c r="A53" s="15" t="s">
        <v>150</v>
      </c>
      <c r="B53" s="16" t="s">
        <v>144</v>
      </c>
      <c r="C53" s="17" t="n">
        <v>600</v>
      </c>
      <c r="D53" s="25"/>
      <c r="E53" s="25"/>
      <c r="F53" s="25"/>
      <c r="G53" s="19"/>
    </row>
    <row r="54" customFormat="false" ht="15" hidden="false" customHeight="false" outlineLevel="0" collapsed="false">
      <c r="A54" s="15" t="s">
        <v>151</v>
      </c>
      <c r="B54" s="16" t="s">
        <v>144</v>
      </c>
      <c r="C54" s="17" t="n">
        <v>500</v>
      </c>
      <c r="D54" s="25"/>
      <c r="E54" s="25"/>
      <c r="F54" s="25"/>
      <c r="G54" s="19" t="s">
        <v>152</v>
      </c>
    </row>
    <row r="55" customFormat="false" ht="15" hidden="false" customHeight="false" outlineLevel="0" collapsed="false">
      <c r="A55" s="15" t="s">
        <v>153</v>
      </c>
      <c r="B55" s="16" t="s">
        <v>144</v>
      </c>
      <c r="C55" s="17" t="n">
        <v>900</v>
      </c>
      <c r="D55" s="25"/>
      <c r="E55" s="25"/>
      <c r="F55" s="25"/>
      <c r="G55" s="19"/>
    </row>
    <row r="56" customFormat="false" ht="15" hidden="false" customHeight="false" outlineLevel="0" collapsed="false">
      <c r="A56" s="15" t="s">
        <v>154</v>
      </c>
      <c r="B56" s="16" t="s">
        <v>144</v>
      </c>
      <c r="C56" s="17" t="n">
        <v>1500</v>
      </c>
      <c r="D56" s="25"/>
      <c r="E56" s="25"/>
      <c r="F56" s="25"/>
      <c r="G56" s="19"/>
    </row>
    <row r="57" customFormat="false" ht="15" hidden="false" customHeight="false" outlineLevel="0" collapsed="false">
      <c r="A57" s="15" t="s">
        <v>155</v>
      </c>
      <c r="B57" s="16" t="s">
        <v>144</v>
      </c>
      <c r="C57" s="17" t="n">
        <v>2000</v>
      </c>
      <c r="D57" s="25"/>
      <c r="E57" s="25"/>
      <c r="F57" s="25"/>
      <c r="G57" s="19"/>
    </row>
    <row r="58" customFormat="false" ht="15" hidden="false" customHeight="false" outlineLevel="0" collapsed="false">
      <c r="A58" s="15" t="s">
        <v>156</v>
      </c>
      <c r="B58" s="16" t="s">
        <v>144</v>
      </c>
      <c r="C58" s="17" t="n">
        <v>2500</v>
      </c>
      <c r="D58" s="25"/>
      <c r="E58" s="25"/>
      <c r="F58" s="25"/>
      <c r="G58" s="19"/>
    </row>
    <row r="59" customFormat="false" ht="15" hidden="false" customHeight="false" outlineLevel="0" collapsed="false">
      <c r="A59" s="15" t="s">
        <v>157</v>
      </c>
      <c r="B59" s="16" t="s">
        <v>82</v>
      </c>
      <c r="C59" s="17" t="n">
        <v>30</v>
      </c>
      <c r="D59" s="25"/>
      <c r="E59" s="25"/>
      <c r="F59" s="25"/>
      <c r="G59" s="19"/>
    </row>
    <row r="60" customFormat="false" ht="15" hidden="false" customHeight="false" outlineLevel="0" collapsed="false">
      <c r="A60" s="15" t="s">
        <v>158</v>
      </c>
      <c r="B60" s="16" t="s">
        <v>66</v>
      </c>
      <c r="C60" s="20" t="n">
        <v>0.25</v>
      </c>
      <c r="D60" s="25"/>
      <c r="E60" s="25"/>
      <c r="F60" s="25"/>
      <c r="G60" s="19" t="s">
        <v>159</v>
      </c>
    </row>
    <row r="61" customFormat="false" ht="15" hidden="false" customHeight="false" outlineLevel="0" collapsed="false">
      <c r="A61" s="15" t="s">
        <v>160</v>
      </c>
      <c r="B61" s="16" t="s">
        <v>161</v>
      </c>
      <c r="C61" s="17" t="n">
        <v>40000</v>
      </c>
      <c r="D61" s="25"/>
      <c r="E61" s="25"/>
      <c r="F61" s="25"/>
      <c r="G61" s="19" t="s">
        <v>162</v>
      </c>
    </row>
    <row r="62" customFormat="false" ht="15" hidden="false" customHeight="false" outlineLevel="0" collapsed="false">
      <c r="A62" s="15" t="s">
        <v>163</v>
      </c>
      <c r="B62" s="16" t="s">
        <v>161</v>
      </c>
      <c r="C62" s="17" t="n">
        <v>60000</v>
      </c>
      <c r="D62" s="25"/>
      <c r="E62" s="25"/>
      <c r="F62" s="25"/>
      <c r="G62" s="19" t="s">
        <v>164</v>
      </c>
    </row>
    <row r="63" customFormat="false" ht="15" hidden="false" customHeight="false" outlineLevel="0" collapsed="false">
      <c r="A63" s="15" t="s">
        <v>165</v>
      </c>
      <c r="B63" s="16" t="s">
        <v>85</v>
      </c>
      <c r="C63" s="17" t="n">
        <v>1</v>
      </c>
      <c r="D63" s="25"/>
      <c r="E63" s="25"/>
      <c r="F63" s="25"/>
      <c r="G63" s="19" t="s">
        <v>166</v>
      </c>
    </row>
    <row r="64" customFormat="false" ht="15" hidden="false" customHeight="false" outlineLevel="0" collapsed="false">
      <c r="A64" s="15" t="s">
        <v>167</v>
      </c>
      <c r="B64" s="16" t="s">
        <v>161</v>
      </c>
      <c r="C64" s="17" t="n">
        <v>220000</v>
      </c>
      <c r="D64" s="25"/>
      <c r="E64" s="25"/>
      <c r="F64" s="25"/>
      <c r="G64" s="19" t="s">
        <v>168</v>
      </c>
    </row>
    <row r="65" customFormat="false" ht="15" hidden="false" customHeight="false" outlineLevel="0" collapsed="false">
      <c r="A65" s="15" t="s">
        <v>169</v>
      </c>
      <c r="B65" s="16" t="s">
        <v>85</v>
      </c>
      <c r="C65" s="17" t="n">
        <v>1</v>
      </c>
      <c r="D65" s="25"/>
      <c r="E65" s="25"/>
      <c r="F65" s="25"/>
      <c r="G65" s="19" t="s">
        <v>166</v>
      </c>
    </row>
    <row r="66" customFormat="false" ht="15" hidden="false" customHeight="false" outlineLevel="0" collapsed="false">
      <c r="A66" s="15" t="s">
        <v>170</v>
      </c>
      <c r="B66" s="16" t="s">
        <v>66</v>
      </c>
      <c r="C66" s="20" t="n">
        <v>0.045</v>
      </c>
      <c r="D66" s="25"/>
      <c r="E66" s="25"/>
      <c r="F66" s="25"/>
      <c r="G66" s="19" t="s">
        <v>171</v>
      </c>
    </row>
    <row r="67" customFormat="false" ht="15" hidden="false" customHeight="false" outlineLevel="0" collapsed="false">
      <c r="A67" s="15" t="s">
        <v>172</v>
      </c>
      <c r="B67" s="16" t="s">
        <v>85</v>
      </c>
      <c r="C67" s="17" t="n">
        <v>6</v>
      </c>
      <c r="D67" s="25"/>
      <c r="E67" s="25"/>
      <c r="F67" s="25"/>
      <c r="G67" s="19" t="s">
        <v>173</v>
      </c>
    </row>
    <row r="68" customFormat="false" ht="15" hidden="false" customHeight="false" outlineLevel="0" collapsed="false">
      <c r="A68" s="15" t="s">
        <v>174</v>
      </c>
      <c r="B68" s="16" t="s">
        <v>85</v>
      </c>
      <c r="C68" s="17" t="n">
        <v>54</v>
      </c>
      <c r="D68" s="25"/>
      <c r="E68" s="25"/>
      <c r="F68" s="25"/>
      <c r="G68" s="19" t="s">
        <v>175</v>
      </c>
    </row>
    <row r="69" customFormat="false" ht="15" hidden="false" customHeight="false" outlineLevel="0" collapsed="false">
      <c r="A69" s="15" t="s">
        <v>176</v>
      </c>
      <c r="B69" s="16" t="s">
        <v>161</v>
      </c>
      <c r="C69" s="17" t="n">
        <v>700000</v>
      </c>
      <c r="D69" s="25"/>
      <c r="E69" s="25"/>
      <c r="F69" s="25"/>
      <c r="G69" s="19" t="s">
        <v>177</v>
      </c>
    </row>
    <row r="70" customFormat="false" ht="15" hidden="false" customHeight="false" outlineLevel="0" collapsed="false">
      <c r="A70" s="15" t="s">
        <v>178</v>
      </c>
      <c r="B70" s="16" t="s">
        <v>85</v>
      </c>
      <c r="C70" s="17" t="n">
        <v>1</v>
      </c>
      <c r="D70" s="25"/>
      <c r="E70" s="25"/>
      <c r="F70" s="25"/>
      <c r="G70" s="19" t="s">
        <v>179</v>
      </c>
    </row>
    <row r="71" customFormat="false" ht="15" hidden="false" customHeight="false" outlineLevel="0" collapsed="false">
      <c r="A71" s="15" t="s">
        <v>180</v>
      </c>
      <c r="B71" s="16" t="s">
        <v>66</v>
      </c>
      <c r="C71" s="20" t="n">
        <v>0.225</v>
      </c>
      <c r="D71" s="25"/>
      <c r="E71" s="25"/>
      <c r="F71" s="25"/>
      <c r="G71" s="19" t="s">
        <v>181</v>
      </c>
    </row>
    <row r="72" customFormat="false" ht="15" hidden="false" customHeight="false" outlineLevel="0" collapsed="false">
      <c r="A72" s="15" t="s">
        <v>182</v>
      </c>
      <c r="B72" s="16" t="s">
        <v>183</v>
      </c>
      <c r="C72" s="17" t="n">
        <v>0</v>
      </c>
      <c r="D72" s="25"/>
      <c r="E72" s="25"/>
      <c r="F72" s="25"/>
      <c r="G72" s="19" t="s">
        <v>184</v>
      </c>
    </row>
    <row r="73" customFormat="false" ht="15" hidden="false" customHeight="false" outlineLevel="0" collapsed="false">
      <c r="A73" s="15" t="s">
        <v>185</v>
      </c>
      <c r="B73" s="16" t="s">
        <v>85</v>
      </c>
      <c r="C73" s="17" t="n">
        <v>18</v>
      </c>
      <c r="D73" s="25"/>
      <c r="E73" s="25"/>
      <c r="F73" s="25"/>
      <c r="G73" s="19" t="s">
        <v>186</v>
      </c>
    </row>
    <row r="74" customFormat="false" ht="15" hidden="false" customHeight="false" outlineLevel="0" collapsed="false">
      <c r="A74" s="15" t="s">
        <v>187</v>
      </c>
      <c r="B74" s="16" t="s">
        <v>59</v>
      </c>
      <c r="C74" s="17" t="n">
        <v>95</v>
      </c>
      <c r="D74" s="25"/>
      <c r="E74" s="25"/>
      <c r="F74" s="25"/>
      <c r="G74" s="19" t="s">
        <v>188</v>
      </c>
    </row>
    <row r="75" customFormat="false" ht="15" hidden="false" customHeight="false" outlineLevel="0" collapsed="false">
      <c r="A75" s="15" t="s">
        <v>189</v>
      </c>
      <c r="B75" s="16" t="s">
        <v>71</v>
      </c>
      <c r="C75" s="22" t="n">
        <v>0.48</v>
      </c>
      <c r="D75" s="25"/>
      <c r="E75" s="25"/>
      <c r="F75" s="25"/>
      <c r="G75" s="19" t="s">
        <v>190</v>
      </c>
    </row>
    <row r="76" customFormat="false" ht="15" hidden="false" customHeight="false" outlineLevel="0" collapsed="false">
      <c r="A76" s="15" t="s">
        <v>191</v>
      </c>
      <c r="B76" s="16" t="s">
        <v>71</v>
      </c>
      <c r="C76" s="22" t="n">
        <v>0.19</v>
      </c>
      <c r="D76" s="25"/>
      <c r="E76" s="25"/>
      <c r="F76" s="25"/>
      <c r="G76" s="19" t="s">
        <v>192</v>
      </c>
    </row>
    <row r="77" customFormat="false" ht="15" hidden="false" customHeight="false" outlineLevel="0" collapsed="false">
      <c r="A77" s="15" t="s">
        <v>193</v>
      </c>
      <c r="B77" s="16" t="s">
        <v>161</v>
      </c>
      <c r="C77" s="17" t="n">
        <v>450000</v>
      </c>
      <c r="D77" s="25"/>
      <c r="E77" s="25"/>
      <c r="F77" s="25"/>
      <c r="G77" s="19" t="s">
        <v>194</v>
      </c>
    </row>
    <row r="78" customFormat="false" ht="15" hidden="false" customHeight="false" outlineLevel="0" collapsed="false">
      <c r="A78" s="15" t="s">
        <v>195</v>
      </c>
      <c r="B78" s="16" t="s">
        <v>85</v>
      </c>
      <c r="C78" s="17" t="n">
        <v>21</v>
      </c>
      <c r="D78" s="25"/>
      <c r="E78" s="25"/>
      <c r="F78" s="25"/>
      <c r="G78" s="19" t="s">
        <v>196</v>
      </c>
    </row>
    <row r="79" customFormat="false" ht="15" hidden="false" customHeight="false" outlineLevel="0" collapsed="false">
      <c r="A79" s="15" t="s">
        <v>197</v>
      </c>
      <c r="B79" s="16" t="s">
        <v>66</v>
      </c>
      <c r="C79" s="20" t="n">
        <v>0.2</v>
      </c>
      <c r="D79" s="25"/>
      <c r="E79" s="25"/>
      <c r="F79" s="25"/>
      <c r="G79" s="19" t="s">
        <v>198</v>
      </c>
    </row>
    <row r="80" customFormat="false" ht="15" hidden="false" customHeight="false" outlineLevel="0" collapsed="false">
      <c r="A80" s="10" t="s">
        <v>199</v>
      </c>
      <c r="B80" s="13" t="s">
        <v>200</v>
      </c>
      <c r="C80" s="26" t="n">
        <f aca="false">PMT(taux_pret/12,duree_pret,-pret)</f>
        <v>4508.09458189757</v>
      </c>
      <c r="G80" s="27" t="s">
        <v>201</v>
      </c>
    </row>
    <row r="81" customFormat="false" ht="15" hidden="false" customHeight="false" outlineLevel="0" collapsed="false">
      <c r="A81" s="10" t="s">
        <v>202</v>
      </c>
      <c r="B81" s="13" t="s">
        <v>66</v>
      </c>
      <c r="C81" s="28" t="n">
        <f aca="false">apport*dilution_visee/((1-dilution_visee)*levee)</f>
        <v>0.0165898617511521</v>
      </c>
      <c r="G81" s="27" t="s">
        <v>203</v>
      </c>
    </row>
    <row r="83" customFormat="false" ht="15" hidden="false" customHeight="false" outlineLevel="0" collapsed="false">
      <c r="A83" s="14" t="s">
        <v>204</v>
      </c>
      <c r="B83" s="14" t="s">
        <v>205</v>
      </c>
      <c r="C83" s="14" t="s">
        <v>206</v>
      </c>
    </row>
    <row r="84" customFormat="false" ht="15" hidden="false" customHeight="false" outlineLevel="0" collapsed="false">
      <c r="A84" s="10" t="s">
        <v>207</v>
      </c>
      <c r="B84" s="13" t="n">
        <v>1</v>
      </c>
      <c r="C84" s="29" t="n">
        <v>0.95</v>
      </c>
    </row>
    <row r="85" customFormat="false" ht="15" hidden="false" customHeight="false" outlineLevel="0" collapsed="false">
      <c r="A85" s="10" t="s">
        <v>208</v>
      </c>
      <c r="B85" s="13" t="n">
        <v>2</v>
      </c>
      <c r="C85" s="29" t="n">
        <v>0.95</v>
      </c>
    </row>
    <row r="86" customFormat="false" ht="15" hidden="false" customHeight="false" outlineLevel="0" collapsed="false">
      <c r="A86" s="10" t="s">
        <v>209</v>
      </c>
      <c r="B86" s="13" t="n">
        <v>3</v>
      </c>
      <c r="C86" s="29" t="n">
        <v>1</v>
      </c>
    </row>
    <row r="87" customFormat="false" ht="15" hidden="false" customHeight="false" outlineLevel="0" collapsed="false">
      <c r="A87" s="10" t="s">
        <v>210</v>
      </c>
      <c r="B87" s="13" t="n">
        <v>4</v>
      </c>
      <c r="C87" s="29" t="n">
        <v>1.02</v>
      </c>
    </row>
    <row r="88" customFormat="false" ht="15" hidden="false" customHeight="false" outlineLevel="0" collapsed="false">
      <c r="A88" s="10" t="s">
        <v>211</v>
      </c>
      <c r="B88" s="13" t="n">
        <v>5</v>
      </c>
      <c r="C88" s="29" t="n">
        <v>1.05</v>
      </c>
    </row>
    <row r="89" customFormat="false" ht="15" hidden="false" customHeight="false" outlineLevel="0" collapsed="false">
      <c r="A89" s="10" t="s">
        <v>212</v>
      </c>
      <c r="B89" s="13" t="n">
        <v>6</v>
      </c>
      <c r="C89" s="29" t="n">
        <v>1.08</v>
      </c>
    </row>
    <row r="90" customFormat="false" ht="15" hidden="false" customHeight="false" outlineLevel="0" collapsed="false">
      <c r="A90" s="10" t="s">
        <v>213</v>
      </c>
      <c r="B90" s="13" t="n">
        <v>7</v>
      </c>
      <c r="C90" s="29" t="n">
        <v>1.05</v>
      </c>
    </row>
    <row r="91" customFormat="false" ht="15" hidden="false" customHeight="false" outlineLevel="0" collapsed="false">
      <c r="A91" s="10" t="s">
        <v>214</v>
      </c>
      <c r="B91" s="13" t="n">
        <v>8</v>
      </c>
      <c r="C91" s="29" t="n">
        <v>0.8</v>
      </c>
    </row>
    <row r="92" customFormat="false" ht="15" hidden="false" customHeight="false" outlineLevel="0" collapsed="false">
      <c r="A92" s="10" t="s">
        <v>215</v>
      </c>
      <c r="B92" s="13" t="n">
        <v>9</v>
      </c>
      <c r="C92" s="29" t="n">
        <v>1.05</v>
      </c>
    </row>
    <row r="93" customFormat="false" ht="15" hidden="false" customHeight="false" outlineLevel="0" collapsed="false">
      <c r="A93" s="10" t="s">
        <v>216</v>
      </c>
      <c r="B93" s="13" t="n">
        <v>10</v>
      </c>
      <c r="C93" s="29" t="n">
        <v>1.03</v>
      </c>
    </row>
    <row r="94" customFormat="false" ht="15" hidden="false" customHeight="false" outlineLevel="0" collapsed="false">
      <c r="A94" s="10" t="s">
        <v>217</v>
      </c>
      <c r="B94" s="13" t="n">
        <v>11</v>
      </c>
      <c r="C94" s="29" t="n">
        <v>1</v>
      </c>
    </row>
    <row r="95" customFormat="false" ht="15" hidden="false" customHeight="false" outlineLevel="0" collapsed="false">
      <c r="A95" s="10" t="s">
        <v>218</v>
      </c>
      <c r="B95" s="13" t="n">
        <v>12</v>
      </c>
      <c r="C95" s="29" t="n">
        <v>1.02</v>
      </c>
    </row>
    <row r="96" customFormat="false" ht="15" hidden="false" customHeight="false" outlineLevel="0" collapsed="false">
      <c r="A96" s="11" t="s">
        <v>219</v>
      </c>
      <c r="C96" s="30" t="n">
        <f aca="false">SUM(C84:C95)</f>
        <v>12</v>
      </c>
    </row>
    <row r="98" customFormat="false" ht="15" hidden="false" customHeight="false" outlineLevel="0" collapsed="false">
      <c r="A98" s="2" t="s">
        <v>220</v>
      </c>
    </row>
  </sheetData>
  <dataValidations count="4">
    <dataValidation allowBlank="false" error="Saisir 1, 2 ou 3." errorStyle="stop" errorTitle="Scénario" operator="between" showDropDown="false" showErrorMessage="true" showInputMessage="false" sqref="C5" type="whole">
      <formula1>1</formula1>
      <formula2>3</formula2>
    </dataValidation>
    <dataValidation allowBlank="false" error="Valeur hors des bornes prévues." errorStyle="stop" errorTitle="Règle de décision" operator="between" showDropDown="false" showErrorMessage="true" showInputMessage="false" sqref="C72" type="list">
      <formula1>"0,1"</formula1>
      <formula2>0</formula2>
    </dataValidation>
    <dataValidation allowBlank="false" error="Valeur hors des bornes prévues." errorStyle="stop" errorTitle="Règle de décision" operator="between" showDropDown="false" showErrorMessage="true" showInputMessage="false" sqref="C73" type="whole">
      <formula1>1</formula1>
      <formula2>35</formula2>
    </dataValidation>
    <dataValidation allowBlank="false" error="Valeur hors des bornes prévues." errorStyle="stop" errorTitle="Règle de décision" operator="between" showDropDown="false" showErrorMessage="true" showInputMessage="false" sqref="C78" type="whole">
      <formula1>mois_decision+1</formula1>
      <formula2>36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6"/>
    <col collapsed="false" customWidth="true" hidden="false" outlineLevel="0" max="4" min="3" style="0" width="16"/>
  </cols>
  <sheetData>
    <row r="1" customFormat="false" ht="17.35" hidden="false" customHeight="false" outlineLevel="0" collapsed="false">
      <c r="A1" s="1" t="s">
        <v>221</v>
      </c>
    </row>
    <row r="2" customFormat="false" ht="15" hidden="false" customHeight="false" outlineLevel="0" collapsed="false">
      <c r="A2" s="2" t="s">
        <v>222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</row>
    <row r="4" customFormat="false" ht="15" hidden="false" customHeight="false" outlineLevel="0" collapsed="false">
      <c r="A4" s="11" t="str">
        <f aca="false">"Scénario affiché : "&amp;CHOOSE(scenario,"prudent","central","ambitieux")&amp;" ; règle de décision appliquée : "&amp;IF(regle_decision=1,"oui","non")</f>
        <v>Scénario affiché : central ; règle de décision appliquée : non</v>
      </c>
    </row>
    <row r="6" customFormat="false" ht="15" hidden="false" customHeight="false" outlineLevel="0" collapsed="false">
      <c r="A6" s="14" t="s">
        <v>223</v>
      </c>
      <c r="B6" s="31" t="n">
        <f aca="false">annee_debut+0</f>
        <v>2027</v>
      </c>
      <c r="C6" s="31" t="n">
        <f aca="false">annee_debut+1</f>
        <v>2028</v>
      </c>
      <c r="D6" s="31" t="n">
        <f aca="false">annee_debut+2</f>
        <v>2029</v>
      </c>
    </row>
    <row r="7" customFormat="false" ht="15" hidden="false" customHeight="false" outlineLevel="0" collapsed="false">
      <c r="A7" s="11" t="s">
        <v>224</v>
      </c>
      <c r="B7" s="32" t="n">
        <f aca="false">CHOOSE(scenario,'Moteur prudent'!AO19,'Moteur central'!AO19,'Moteur ambitieux'!AO19)</f>
        <v>138442.351328053</v>
      </c>
      <c r="C7" s="32" t="n">
        <f aca="false">CHOOSE(scenario,'Moteur prudent'!AP19,'Moteur central'!AP19,'Moteur ambitieux'!AP19)</f>
        <v>537816.801109492</v>
      </c>
      <c r="D7" s="32" t="n">
        <f aca="false">CHOOSE(scenario,'Moteur prudent'!AQ19,'Moteur central'!AQ19,'Moteur ambitieux'!AQ19)</f>
        <v>1120866.04987105</v>
      </c>
    </row>
    <row r="8" customFormat="false" ht="15" hidden="false" customHeight="false" outlineLevel="0" collapsed="false">
      <c r="A8" s="10" t="s">
        <v>225</v>
      </c>
      <c r="B8" s="33" t="n">
        <f aca="false">CHOOSE(scenario,'Moteur prudent'!AO25,'Moteur central'!AO25,'Moteur ambitieux'!AO25)</f>
        <v>94950.1020115943</v>
      </c>
      <c r="C8" s="33" t="n">
        <f aca="false">CHOOSE(scenario,'Moteur prudent'!AP25,'Moteur central'!AP25,'Moteur ambitieux'!AP25)</f>
        <v>368905.833540919</v>
      </c>
      <c r="D8" s="33" t="n">
        <f aca="false">CHOOSE(scenario,'Moteur prudent'!AQ25,'Moteur central'!AQ25,'Moteur ambitieux'!AQ25)</f>
        <v>768876.999050651</v>
      </c>
    </row>
    <row r="9" customFormat="false" ht="15" hidden="false" customHeight="false" outlineLevel="0" collapsed="false">
      <c r="A9" s="11" t="s">
        <v>226</v>
      </c>
      <c r="B9" s="32" t="n">
        <f aca="false">CHOOSE(scenario,'Moteur prudent'!AO48,'Moteur central'!AO48,'Moteur ambitieux'!AO48)</f>
        <v>-187149.897988406</v>
      </c>
      <c r="C9" s="32" t="n">
        <f aca="false">CHOOSE(scenario,'Moteur prudent'!AP48,'Moteur central'!AP48,'Moteur ambitieux'!AP48)</f>
        <v>-99583.1664590814</v>
      </c>
      <c r="D9" s="32" t="n">
        <f aca="false">CHOOSE(scenario,'Moteur prudent'!AQ48,'Moteur central'!AQ48,'Moteur ambitieux'!AQ48)</f>
        <v>52451.0790506509</v>
      </c>
    </row>
    <row r="10" customFormat="false" ht="15" hidden="false" customHeight="false" outlineLevel="0" collapsed="false">
      <c r="A10" s="10" t="s">
        <v>227</v>
      </c>
      <c r="B10" s="34" t="n">
        <f aca="false">CHOOSE(scenario,'Moteur prudent'!AO49,'Moteur central'!AO49,'Moteur ambitieux'!AO49)</f>
        <v>-1.35182547965352</v>
      </c>
      <c r="C10" s="34" t="n">
        <f aca="false">CHOOSE(scenario,'Moteur prudent'!AP49,'Moteur central'!AP49,'Moteur ambitieux'!AP49)</f>
        <v>-0.185161873436542</v>
      </c>
      <c r="D10" s="34" t="n">
        <f aca="false">CHOOSE(scenario,'Moteur prudent'!AQ49,'Moteur central'!AQ49,'Moteur ambitieux'!AQ49)</f>
        <v>0.046795135829732</v>
      </c>
    </row>
    <row r="11" customFormat="false" ht="15" hidden="false" customHeight="false" outlineLevel="0" collapsed="false">
      <c r="A11" s="10" t="s">
        <v>228</v>
      </c>
      <c r="B11" s="33" t="n">
        <f aca="false">CHOOSE(scenario,'Moteur prudent'!AO75,'Moteur central'!AO75,'Moteur ambitieux'!AO75)</f>
        <v>-236483.48166902</v>
      </c>
      <c r="C11" s="33" t="n">
        <f aca="false">CHOOSE(scenario,'Moteur prudent'!AP75,'Moteur central'!AP75,'Moteur ambitieux'!AP75)</f>
        <v>-167350.176805374</v>
      </c>
      <c r="D11" s="33" t="n">
        <f aca="false">CHOOSE(scenario,'Moteur prudent'!AQ75,'Moteur central'!AQ75,'Moteur ambitieux'!AQ75)</f>
        <v>-51471.8431529377</v>
      </c>
    </row>
    <row r="12" customFormat="false" ht="15" hidden="false" customHeight="false" outlineLevel="0" collapsed="false">
      <c r="A12" s="10" t="s">
        <v>229</v>
      </c>
      <c r="B12" s="33" t="n">
        <f aca="false">CHOOSE(scenario,'Moteur prudent'!AO56,'Moteur central'!AO56,'Moteur ambitieux'!AO56)</f>
        <v>244431.38886047</v>
      </c>
      <c r="C12" s="33" t="n">
        <f aca="false">CHOOSE(scenario,'Moteur prudent'!AP56,'Moteur central'!AP56,'Moteur ambitieux'!AP56)</f>
        <v>197489.3043057</v>
      </c>
      <c r="D12" s="33" t="n">
        <f aca="false">CHOOSE(scenario,'Moteur prudent'!AQ56,'Moteur central'!AQ56,'Moteur ambitieux'!AQ56)</f>
        <v>58187.6888109595</v>
      </c>
    </row>
    <row r="13" customFormat="false" ht="15" hidden="false" customHeight="false" outlineLevel="0" collapsed="false">
      <c r="A13" s="11" t="s">
        <v>230</v>
      </c>
      <c r="B13" s="32" t="n">
        <f aca="false">CHOOSE(scenario,'Moteur prudent'!AO88,'Moteur central'!AO88,'Moteur ambitieux'!AO88)</f>
        <v>554942.442685467</v>
      </c>
      <c r="C13" s="32" t="n">
        <f aca="false">CHOOSE(scenario,'Moteur prudent'!AP88,'Moteur central'!AP88,'Moteur ambitieux'!AP88)</f>
        <v>177078.80193871</v>
      </c>
      <c r="D13" s="32" t="n">
        <f aca="false">CHOOSE(scenario,'Moteur prudent'!AQ88,'Moteur central'!AQ88,'Moteur ambitieux'!AQ88)</f>
        <v>82861.8400146224</v>
      </c>
    </row>
    <row r="14" customFormat="false" ht="15" hidden="false" customHeight="false" outlineLevel="0" collapsed="false">
      <c r="A14" s="10" t="s">
        <v>231</v>
      </c>
      <c r="B14" s="33" t="n">
        <f aca="false">CHOOSE(scenario,'Moteur prudent'!AO99,'Moteur central'!AO99,'Moteur ambitieux'!AO99)</f>
        <v>503516.51833098</v>
      </c>
      <c r="C14" s="33" t="n">
        <f aca="false">CHOOSE(scenario,'Moteur prudent'!AP99,'Moteur central'!AP99,'Moteur ambitieux'!AP99)</f>
        <v>336166.341525606</v>
      </c>
      <c r="D14" s="33" t="n">
        <f aca="false">CHOOSE(scenario,'Moteur prudent'!AQ99,'Moteur central'!AQ99,'Moteur ambitieux'!AQ99)</f>
        <v>284694.498372668</v>
      </c>
    </row>
    <row r="15" customFormat="false" ht="15" hidden="false" customHeight="false" outlineLevel="0" collapsed="false">
      <c r="A15" s="10" t="s">
        <v>232</v>
      </c>
      <c r="B15" s="33" t="n">
        <f aca="false">CHOOSE(scenario,'Moteur prudent'!AO10,'Moteur central'!AO10,'Moteur ambitieux'!AO10)</f>
        <v>56.1942041766924</v>
      </c>
      <c r="C15" s="33" t="n">
        <f aca="false">CHOOSE(scenario,'Moteur prudent'!AP10,'Moteur central'!AP10,'Moteur ambitieux'!AP10)</f>
        <v>161.003919930753</v>
      </c>
      <c r="D15" s="33" t="n">
        <f aca="false">CHOOSE(scenario,'Moteur prudent'!AQ10,'Moteur central'!AQ10,'Moteur ambitieux'!AQ10)</f>
        <v>285.394881630546</v>
      </c>
    </row>
    <row r="16" customFormat="false" ht="15" hidden="false" customHeight="false" outlineLevel="0" collapsed="false">
      <c r="A16" s="10" t="s">
        <v>233</v>
      </c>
      <c r="B16" s="33" t="n">
        <f aca="false">CHOOSE(scenario,'Moteur prudent'!AO33,'Moteur central'!AO33,'Moteur ambitieux'!AO33)</f>
        <v>5</v>
      </c>
      <c r="C16" s="33" t="n">
        <f aca="false">CHOOSE(scenario,'Moteur prudent'!AP33,'Moteur central'!AP33,'Moteur ambitieux'!AP33)</f>
        <v>9</v>
      </c>
      <c r="D16" s="33" t="n">
        <f aca="false">CHOOSE(scenario,'Moteur prudent'!AQ33,'Moteur central'!AQ33,'Moteur ambitieux'!AQ33)</f>
        <v>14</v>
      </c>
    </row>
    <row r="18" customFormat="false" ht="15" hidden="false" customHeight="false" outlineLevel="0" collapsed="false">
      <c r="A18" s="14" t="s">
        <v>234</v>
      </c>
      <c r="B18" s="14" t="s">
        <v>88</v>
      </c>
    </row>
    <row r="19" customFormat="false" ht="15" hidden="false" customHeight="false" outlineLevel="0" collapsed="false">
      <c r="A19" s="15" t="s">
        <v>235</v>
      </c>
      <c r="B19" s="35" t="n">
        <f aca="false">CHOOSE(scenario,MAX(0,-MIN('Moteur prudent'!$D$89:$AM$89)),MAX(0,-MIN('Moteur central'!$D$89:$AM$89)),MAX(0,-MIN('Moteur ambitieux'!$D$89:$AM$89)))</f>
        <v>823361.90722026</v>
      </c>
    </row>
    <row r="20" customFormat="false" ht="15" hidden="false" customHeight="false" outlineLevel="0" collapsed="false">
      <c r="A20" s="15" t="s">
        <v>236</v>
      </c>
      <c r="B20" s="36" t="str">
        <f aca="false">CHOOSE(scenario,INDEX('Moteur prudent'!$D$7:$AM$7,MATCH(MIN('Moteur prudent'!$D$89:$AM$89),'Moteur prudent'!$D$89:$AM$89,0)),INDEX('Moteur central'!$D$7:$AM$7,MATCH(MIN('Moteur central'!$D$89:$AM$89),'Moteur central'!$D$89:$AM$89,0)),INDEX('Moteur ambitieux'!$D$7:$AM$7,MATCH(MIN('Moteur ambitieux'!$D$89:$AM$89),'Moteur ambitieux'!$D$89:$AM$89,0)))</f>
        <v>sept. 2029</v>
      </c>
    </row>
    <row r="21" customFormat="false" ht="15" hidden="false" customHeight="false" outlineLevel="0" collapsed="false">
      <c r="A21" s="15" t="s">
        <v>237</v>
      </c>
      <c r="B21" s="35" t="n">
        <f aca="false">apport+comptes_courants+levee+pret</f>
        <v>1020000</v>
      </c>
    </row>
    <row r="22" customFormat="false" ht="15" hidden="false" customHeight="false" outlineLevel="0" collapsed="false">
      <c r="A22" s="15" t="s">
        <v>238</v>
      </c>
      <c r="B22" s="35" t="n">
        <f aca="false">CHOOSE(scenario,MIN('Moteur prudent'!$D$88:$AM$88),MIN('Moteur central'!$D$88:$AM$88),MIN('Moteur ambitieux'!$D$88:$AM$88))</f>
        <v>74477.6336504032</v>
      </c>
    </row>
    <row r="23" customFormat="false" ht="15" hidden="false" customHeight="false" outlineLevel="0" collapsed="false">
      <c r="A23" s="15" t="s">
        <v>236</v>
      </c>
      <c r="B23" s="36" t="str">
        <f aca="false">CHOOSE(scenario,INDEX('Moteur prudent'!$D$7:$AM$7,MATCH(MIN('Moteur prudent'!$D$88:$AM$88),'Moteur prudent'!$D$88:$AM$88,0)),INDEX('Moteur central'!$D$7:$AM$7,MATCH(MIN('Moteur central'!$D$88:$AM$88),'Moteur central'!$D$88:$AM$88,0)),INDEX('Moteur ambitieux'!$D$7:$AM$7,MATCH(MIN('Moteur ambitieux'!$D$88:$AM$88),'Moteur ambitieux'!$D$88:$AM$88,0)))</f>
        <v>sept. 2029</v>
      </c>
    </row>
    <row r="24" customFormat="false" ht="15" hidden="false" customHeight="false" outlineLevel="0" collapsed="false">
      <c r="A24" s="15" t="s">
        <v>239</v>
      </c>
      <c r="B24" s="36" t="str">
        <f aca="false">CHOOSE(scenario,IF(MAX('Moteur prudent'!$D$91:$AM$91)&gt;=MAX('Moteur prudent'!$D$6:$AM$6),"après "&amp;INDEX('Moteur prudent'!$D$7:$AM$7,MAX('Moteur prudent'!$D$6:$AM$6)),INDEX('Moteur prudent'!$D$7:$AM$7,MAX('Moteur prudent'!$D$91:$AM$91)+1)),IF(MAX('Moteur central'!$D$91:$AM$91)&gt;=MAX('Moteur central'!$D$6:$AM$6),"après "&amp;INDEX('Moteur central'!$D$7:$AM$7,MAX('Moteur central'!$D$6:$AM$6)),INDEX('Moteur central'!$D$7:$AM$7,MAX('Moteur central'!$D$91:$AM$91)+1)),IF(MAX('Moteur ambitieux'!$D$91:$AM$91)&gt;=MAX('Moteur ambitieux'!$D$6:$AM$6),"après "&amp;INDEX('Moteur ambitieux'!$D$7:$AM$7,MAX('Moteur ambitieux'!$D$6:$AM$6)),INDEX('Moteur ambitieux'!$D$7:$AM$7,MAX('Moteur ambitieux'!$D$91:$AM$91)+1)))</f>
        <v>sept. 2029</v>
      </c>
    </row>
    <row r="26" customFormat="false" ht="15" hidden="false" customHeight="false" outlineLevel="0" collapsed="false">
      <c r="A26" s="14" t="s">
        <v>240</v>
      </c>
      <c r="B26" s="14" t="s">
        <v>88</v>
      </c>
    </row>
    <row r="27" customFormat="false" ht="15" hidden="false" customHeight="false" outlineLevel="0" collapsed="false">
      <c r="A27" s="15" t="s">
        <v>241</v>
      </c>
      <c r="B27" s="36" t="str">
        <f aca="false">INDEX('Moteur central'!$D$7:$AM$7,mois_decision)</f>
        <v>juin 2028</v>
      </c>
    </row>
    <row r="28" customFormat="false" ht="15" hidden="false" customHeight="false" outlineLevel="0" collapsed="false">
      <c r="A28" s="15" t="s">
        <v>242</v>
      </c>
      <c r="B28" s="37" t="n">
        <f aca="false">CHOOSE(scenario,INDEX('Moteur prudent'!$D$10:$AM$10,mois_decision),INDEX('Moteur central'!$D$10:$AM$10,mois_decision),INDEX('Moteur ambitieux'!$D$10:$AM$10,mois_decision))</f>
        <v>110.496218321883</v>
      </c>
    </row>
    <row r="29" customFormat="false" ht="15" hidden="false" customHeight="false" outlineLevel="0" collapsed="false">
      <c r="A29" s="15" t="s">
        <v>243</v>
      </c>
      <c r="B29" s="35" t="n">
        <f aca="false">seuil_decision_pdv</f>
        <v>95</v>
      </c>
    </row>
    <row r="30" customFormat="false" ht="15" hidden="false" customHeight="false" outlineLevel="0" collapsed="false">
      <c r="A30" s="15" t="s">
        <v>244</v>
      </c>
      <c r="B30" s="38" t="n">
        <f aca="false">CHOOSE(scenario,prix_rotation_p,prix_rotation_c,prix_rotation_a)</f>
        <v>0.5</v>
      </c>
    </row>
    <row r="31" customFormat="false" ht="15" hidden="false" customHeight="false" outlineLevel="0" collapsed="false">
      <c r="A31" s="15" t="s">
        <v>245</v>
      </c>
      <c r="B31" s="38" t="n">
        <f aca="false">seuil_prix</f>
        <v>0.48</v>
      </c>
    </row>
    <row r="32" customFormat="false" ht="15" hidden="false" customHeight="false" outlineLevel="0" collapsed="false">
      <c r="A32" s="15" t="s">
        <v>246</v>
      </c>
      <c r="B32" s="38" t="n">
        <f aca="false">CHOOSE(scenario,cout_lavage_p+cout_logistique_p+taux_perte_p*cout_contenant,cout_lavage_c+cout_logistique_c+taux_perte_c*cout_contenant,cout_lavage_a+cout_logistique_a+taux_perte_a*cout_contenant)</f>
        <v>0.174</v>
      </c>
    </row>
    <row r="33" customFormat="false" ht="15" hidden="false" customHeight="false" outlineLevel="0" collapsed="false">
      <c r="A33" s="15" t="s">
        <v>247</v>
      </c>
      <c r="B33" s="38" t="n">
        <f aca="false">seuil_cout_variable</f>
        <v>0.19</v>
      </c>
    </row>
    <row r="34" customFormat="false" ht="15" hidden="false" customHeight="false" outlineLevel="0" collapsed="false">
      <c r="A34" s="15" t="s">
        <v>248</v>
      </c>
      <c r="B34" s="36" t="str">
        <f aca="false">CHOOSE(scenario,IF(OR(INDEX('Moteur prudent'!$D$10:$AM$10,mois_decision)&lt;seuil_decision_pdv,prix_rotation_p&lt;seuil_prix,cout_lavage_p+cout_logistique_p+taux_perte_p*cout_contenant&gt;seuil_cout_variable),IF(regle_decision=1,"manqué : la règle joue","manqué (règle non appliquée)"),"atteint"),IF(OR(INDEX('Moteur central'!$D$10:$AM$10,mois_decision)&lt;seuil_decision_pdv,prix_rotation_c&lt;seuil_prix,cout_lavage_c+cout_logistique_c+taux_perte_c*cout_contenant&gt;seuil_cout_variable),IF(regle_decision=1,"manqué : la règle joue","manqué (règle non appliquée)"),"atteint"),IF(OR(INDEX('Moteur ambitieux'!$D$10:$AM$10,mois_decision)&lt;seuil_decision_pdv,prix_rotation_a&lt;seuil_prix,cout_lavage_a+cout_logistique_a+taux_perte_a*cout_contenant&gt;seuil_cout_variable),IF(regle_decision=1,"manqué : la règle joue","manqué (règle non appliquée)"),"atteint"))</f>
        <v>atteint</v>
      </c>
    </row>
    <row r="35" customFormat="false" ht="15" hidden="false" customHeight="false" outlineLevel="0" collapsed="false">
      <c r="A35" s="15" t="s">
        <v>249</v>
      </c>
      <c r="B35" s="36" t="str">
        <f aca="false">IF(regle_decision=1,"oui","non : saisir 1 dans Hypothèses pour l’appliquer")</f>
        <v>non : saisir 1 dans Hypothèses pour l’appliquer</v>
      </c>
    </row>
    <row r="36" customFormat="false" ht="15" hidden="false" customHeight="false" outlineLevel="0" collapsed="false">
      <c r="A36" s="15" t="s">
        <v>250</v>
      </c>
      <c r="B36" s="35" t="n">
        <f aca="false">CHOOSE(scenario,SUM('Moteur prudent'!$D$85:$AM$85),SUM('Moteur central'!$D$85:$AM$85),SUM('Moteur ambitieux'!$D$85:$AM$85))</f>
        <v>0</v>
      </c>
    </row>
    <row r="38" customFormat="false" ht="15" hidden="false" customHeight="false" outlineLevel="0" collapsed="false">
      <c r="A38" s="39" t="s">
        <v>251</v>
      </c>
    </row>
    <row r="39" customFormat="false" ht="15" hidden="false" customHeight="false" outlineLevel="0" collapsed="false">
      <c r="A39" s="10" t="s">
        <v>252</v>
      </c>
      <c r="B39" s="40" t="str">
        <f aca="false">IF(SUMPRODUCT(ABS(controle_bilan))=0,"OK","ÉCART")</f>
        <v>OK</v>
      </c>
    </row>
    <row r="40" customFormat="false" ht="15" hidden="false" customHeight="false" outlineLevel="0" collapsed="false">
      <c r="A40" s="10" t="s">
        <v>253</v>
      </c>
      <c r="B40" s="40" t="str">
        <f aca="false">IF(SUMPRODUCT(ABS(controle_financement))=0,"OK","ÉCART")</f>
        <v>OK</v>
      </c>
    </row>
    <row r="41" customFormat="false" ht="15" hidden="false" customHeight="false" outlineLevel="0" collapsed="false">
      <c r="A41" s="10" t="s">
        <v>254</v>
      </c>
      <c r="B41" s="40" t="str">
        <f aca="false">IF(SUMPRODUCT(ABS('Moteur prudent'!$D$101:$AM$101))+SUMPRODUCT(ABS('Moteur central'!$D$101:$AM$101))+SUMPRODUCT(ABS('Moteur ambitieux'!$D$101:$AM$101))=0,"OK","ÉCART")</f>
        <v>OK</v>
      </c>
    </row>
    <row r="42" customFormat="false" ht="15" hidden="false" customHeight="false" outlineLevel="0" collapsed="false">
      <c r="A42" s="10" t="s">
        <v>255</v>
      </c>
      <c r="B42" s="40" t="str">
        <f aca="false">IF(ROUND(somme_saisonnalite,6)=12,"OK","ÉCART")</f>
        <v>OK</v>
      </c>
    </row>
    <row r="43" customFormat="false" ht="15" hidden="false" customHeight="false" outlineLevel="0" collapsed="false">
      <c r="A43" s="10" t="s">
        <v>256</v>
      </c>
      <c r="B43" s="40" t="str">
        <f aca="false">IF(mois_tranche&gt;mois_decision,"OK","ÉCART")</f>
        <v>OK</v>
      </c>
    </row>
  </sheetData>
  <conditionalFormatting sqref="B34">
    <cfRule type="cellIs" priority="2" operator="notEqual" aboveAverage="0" equalAverage="0" bottom="0" percent="0" rank="0" text="" dxfId="0">
      <formula>"atteint"</formula>
    </cfRule>
  </conditionalFormatting>
  <conditionalFormatting sqref="B39">
    <cfRule type="cellIs" priority="3" operator="equal" aboveAverage="0" equalAverage="0" bottom="0" percent="0" rank="0" text="" dxfId="0">
      <formula>"ÉCART"</formula>
    </cfRule>
  </conditionalFormatting>
  <conditionalFormatting sqref="B40">
    <cfRule type="cellIs" priority="4" operator="equal" aboveAverage="0" equalAverage="0" bottom="0" percent="0" rank="0" text="" dxfId="0">
      <formula>"ÉCART"</formula>
    </cfRule>
  </conditionalFormatting>
  <conditionalFormatting sqref="B41">
    <cfRule type="cellIs" priority="5" operator="equal" aboveAverage="0" equalAverage="0" bottom="0" percent="0" rank="0" text="" dxfId="0">
      <formula>"ÉCART"</formula>
    </cfRule>
  </conditionalFormatting>
  <conditionalFormatting sqref="B42">
    <cfRule type="cellIs" priority="6" operator="equal" aboveAverage="0" equalAverage="0" bottom="0" percent="0" rank="0" text="" dxfId="0">
      <formula>"ÉCART"</formula>
    </cfRule>
  </conditionalFormatting>
  <conditionalFormatting sqref="B43">
    <cfRule type="cellIs" priority="7" operator="equal" aboveAverage="0" equalAverage="0" bottom="0" percent="0" rank="0" text="" dxfId="0">
      <formula>"ÉCART"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tru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4"/>
  </cols>
  <sheetData>
    <row r="1" customFormat="false" ht="17.35" hidden="false" customHeight="false" outlineLevel="0" collapsed="false">
      <c r="A1" s="1" t="s">
        <v>257</v>
      </c>
    </row>
    <row r="2" customFormat="false" ht="15" hidden="false" customHeight="false" outlineLevel="0" collapsed="false">
      <c r="A2" s="2" t="s">
        <v>258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4" customFormat="false" ht="15" hidden="false" customHeight="false" outlineLevel="0" collapsed="false">
      <c r="A4" s="11" t="str">
        <f aca="false">"Scénario affiché : "&amp;CHOOSE(scenario,"prudent","central","ambitieux")</f>
        <v>Scénario affiché : central</v>
      </c>
    </row>
    <row r="6" customFormat="false" ht="15" hidden="false" customHeight="false" outlineLevel="0" collapsed="false">
      <c r="A6" s="14" t="s">
        <v>259</v>
      </c>
      <c r="B6" s="31" t="n">
        <f aca="false">annee_debut+0</f>
        <v>2027</v>
      </c>
      <c r="C6" s="31" t="n">
        <f aca="false">annee_debut+1</f>
        <v>2028</v>
      </c>
      <c r="D6" s="31" t="n">
        <f aca="false">annee_debut+2</f>
        <v>2029</v>
      </c>
    </row>
    <row r="7" customFormat="false" ht="15" hidden="false" customHeight="false" outlineLevel="0" collapsed="false">
      <c r="A7" s="10" t="s">
        <v>260</v>
      </c>
      <c r="B7" s="33" t="n">
        <f aca="false">CHOOSE(scenario,'Moteur prudent'!AO17,'Moteur central'!AO17,'Moteur ambitieux'!AO17)</f>
        <v>124977.727920858</v>
      </c>
      <c r="C7" s="33" t="n">
        <f aca="false">CHOOSE(scenario,'Moteur prudent'!AP17,'Moteur central'!AP17,'Moteur ambitieux'!AP17)</f>
        <v>485376.343587854</v>
      </c>
      <c r="D7" s="33" t="n">
        <f aca="false">CHOOSE(scenario,'Moteur prudent'!AQ17,'Moteur central'!AQ17,'Moteur ambitieux'!AQ17)</f>
        <v>1011462.78971378</v>
      </c>
    </row>
    <row r="8" customFormat="false" ht="15" hidden="false" customHeight="false" outlineLevel="0" collapsed="false">
      <c r="A8" s="10" t="s">
        <v>261</v>
      </c>
      <c r="B8" s="33" t="n">
        <f aca="false">CHOOSE(scenario,'Moteur prudent'!AO18,'Moteur central'!AO18,'Moteur ambitieux'!AO18)</f>
        <v>13464.6234071951</v>
      </c>
      <c r="C8" s="33" t="n">
        <f aca="false">CHOOSE(scenario,'Moteur prudent'!AP18,'Moteur central'!AP18,'Moteur ambitieux'!AP18)</f>
        <v>52440.4575216375</v>
      </c>
      <c r="D8" s="33" t="n">
        <f aca="false">CHOOSE(scenario,'Moteur prudent'!AQ18,'Moteur central'!AQ18,'Moteur ambitieux'!AQ18)</f>
        <v>109403.260157264</v>
      </c>
    </row>
    <row r="9" customFormat="false" ht="15" hidden="false" customHeight="false" outlineLevel="0" collapsed="false">
      <c r="A9" s="11" t="s">
        <v>224</v>
      </c>
      <c r="B9" s="32" t="n">
        <f aca="false">CHOOSE(scenario,'Moteur prudent'!AO19,'Moteur central'!AO19,'Moteur ambitieux'!AO19)</f>
        <v>138442.351328053</v>
      </c>
      <c r="C9" s="32" t="n">
        <f aca="false">CHOOSE(scenario,'Moteur prudent'!AP19,'Moteur central'!AP19,'Moteur ambitieux'!AP19)</f>
        <v>537816.801109492</v>
      </c>
      <c r="D9" s="32" t="n">
        <f aca="false">CHOOSE(scenario,'Moteur prudent'!AQ19,'Moteur central'!AQ19,'Moteur ambitieux'!AQ19)</f>
        <v>1120866.04987105</v>
      </c>
    </row>
    <row r="10" customFormat="false" ht="15" hidden="false" customHeight="false" outlineLevel="0" collapsed="false">
      <c r="A10" s="10" t="s">
        <v>262</v>
      </c>
      <c r="B10" s="41"/>
      <c r="C10" s="41" t="n">
        <f aca="false">IF(B9=0,0,C9/B9-1)</f>
        <v>2.88477077968058</v>
      </c>
      <c r="D10" s="41" t="n">
        <f aca="false">IF(C9=0,0,D9/C9-1)</f>
        <v>1.08410382040641</v>
      </c>
    </row>
    <row r="11" customFormat="false" ht="15" hidden="false" customHeight="false" outlineLevel="0" collapsed="false">
      <c r="A11" s="10" t="s">
        <v>263</v>
      </c>
      <c r="B11" s="33" t="n">
        <f aca="false">CHOOSE(scenario,'Moteur prudent'!AO21,'Moteur central'!AO21,'Moteur ambitieux'!AO21)</f>
        <v>12497.7727920858</v>
      </c>
      <c r="C11" s="33" t="n">
        <f aca="false">CHOOSE(scenario,'Moteur prudent'!AP21,'Moteur central'!AP21,'Moteur ambitieux'!AP21)</f>
        <v>48537.6343587855</v>
      </c>
      <c r="D11" s="33" t="n">
        <f aca="false">CHOOSE(scenario,'Moteur prudent'!AQ21,'Moteur central'!AQ21,'Moteur ambitieux'!AQ21)</f>
        <v>101146.278971378</v>
      </c>
    </row>
    <row r="12" customFormat="false" ht="15" hidden="false" customHeight="false" outlineLevel="0" collapsed="false">
      <c r="A12" s="10" t="s">
        <v>264</v>
      </c>
      <c r="B12" s="33" t="n">
        <f aca="false">CHOOSE(scenario,'Moteur prudent'!AO22,'Moteur central'!AO22,'Moteur ambitieux'!AO22)</f>
        <v>19996.4364673372</v>
      </c>
      <c r="C12" s="33" t="n">
        <f aca="false">CHOOSE(scenario,'Moteur prudent'!AP22,'Moteur central'!AP22,'Moteur ambitieux'!AP22)</f>
        <v>77660.2149740567</v>
      </c>
      <c r="D12" s="33" t="n">
        <f aca="false">CHOOSE(scenario,'Moteur prudent'!AQ22,'Moteur central'!AQ22,'Moteur ambitieux'!AQ22)</f>
        <v>161834.046354205</v>
      </c>
    </row>
    <row r="13" customFormat="false" ht="15" hidden="false" customHeight="false" outlineLevel="0" collapsed="false">
      <c r="A13" s="10" t="s">
        <v>265</v>
      </c>
      <c r="B13" s="33" t="n">
        <f aca="false">CHOOSE(scenario,'Moteur prudent'!AO23,'Moteur central'!AO23,'Moteur ambitieux'!AO23)</f>
        <v>10998.0400570355</v>
      </c>
      <c r="C13" s="33" t="n">
        <f aca="false">CHOOSE(scenario,'Moteur prudent'!AP23,'Moteur central'!AP23,'Moteur ambitieux'!AP23)</f>
        <v>42713.1182357312</v>
      </c>
      <c r="D13" s="33" t="n">
        <f aca="false">CHOOSE(scenario,'Moteur prudent'!AQ23,'Moteur central'!AQ23,'Moteur ambitieux'!AQ23)</f>
        <v>89008.7254948129</v>
      </c>
    </row>
    <row r="14" customFormat="false" ht="15" hidden="false" customHeight="false" outlineLevel="0" collapsed="false">
      <c r="A14" s="11" t="s">
        <v>225</v>
      </c>
      <c r="B14" s="32" t="n">
        <f aca="false">CHOOSE(scenario,'Moteur prudent'!AO25,'Moteur central'!AO25,'Moteur ambitieux'!AO25)</f>
        <v>94950.1020115943</v>
      </c>
      <c r="C14" s="32" t="n">
        <f aca="false">CHOOSE(scenario,'Moteur prudent'!AP25,'Moteur central'!AP25,'Moteur ambitieux'!AP25)</f>
        <v>368905.833540919</v>
      </c>
      <c r="D14" s="32" t="n">
        <f aca="false">CHOOSE(scenario,'Moteur prudent'!AQ25,'Moteur central'!AQ25,'Moteur ambitieux'!AQ25)</f>
        <v>768876.999050651</v>
      </c>
    </row>
    <row r="15" customFormat="false" ht="15" hidden="false" customHeight="false" outlineLevel="0" collapsed="false">
      <c r="A15" s="10" t="s">
        <v>266</v>
      </c>
      <c r="B15" s="34" t="n">
        <f aca="false">CHOOSE(scenario,'Moteur prudent'!AO26,'Moteur central'!AO26,'Moteur ambitieux'!AO26)</f>
        <v>0.685845776966043</v>
      </c>
      <c r="C15" s="34" t="n">
        <f aca="false">CHOOSE(scenario,'Moteur prudent'!AP26,'Moteur central'!AP26,'Moteur ambitieux'!AP26)</f>
        <v>0.685932147861284</v>
      </c>
      <c r="D15" s="34" t="n">
        <f aca="false">CHOOSE(scenario,'Moteur prudent'!AQ26,'Moteur central'!AQ26,'Moteur ambitieux'!AQ26)</f>
        <v>0.685966890637028</v>
      </c>
    </row>
    <row r="16" customFormat="false" ht="15" hidden="false" customHeight="false" outlineLevel="0" collapsed="false">
      <c r="A16" s="10" t="s">
        <v>267</v>
      </c>
      <c r="B16" s="33" t="n">
        <f aca="false">CHOOSE(scenario,'Moteur prudent'!AO39,'Moteur central'!AO39,'Moteur ambitieux'!AO39)</f>
        <v>173500</v>
      </c>
      <c r="C16" s="33" t="n">
        <f aca="false">CHOOSE(scenario,'Moteur prudent'!AP39,'Moteur central'!AP39,'Moteur ambitieux'!AP39)</f>
        <v>339510</v>
      </c>
      <c r="D16" s="33" t="n">
        <f aca="false">CHOOSE(scenario,'Moteur prudent'!AQ39,'Moteur central'!AQ39,'Moteur ambitieux'!AQ39)</f>
        <v>553811.4</v>
      </c>
    </row>
    <row r="17" customFormat="false" ht="15" hidden="false" customHeight="false" outlineLevel="0" collapsed="false">
      <c r="A17" s="10" t="s">
        <v>268</v>
      </c>
      <c r="B17" s="33" t="n">
        <f aca="false">CHOOSE(scenario,'Moteur prudent'!AO47,'Moteur central'!AO47,'Moteur ambitieux'!AO47)</f>
        <v>108600</v>
      </c>
      <c r="C17" s="33" t="n">
        <f aca="false">CHOOSE(scenario,'Moteur prudent'!AP47,'Moteur central'!AP47,'Moteur ambitieux'!AP47)</f>
        <v>128979</v>
      </c>
      <c r="D17" s="33" t="n">
        <f aca="false">CHOOSE(scenario,'Moteur prudent'!AQ47,'Moteur central'!AQ47,'Moteur ambitieux'!AQ47)</f>
        <v>162614.52</v>
      </c>
    </row>
    <row r="18" customFormat="false" ht="15" hidden="false" customHeight="false" outlineLevel="0" collapsed="false">
      <c r="A18" s="11" t="s">
        <v>226</v>
      </c>
      <c r="B18" s="32" t="n">
        <f aca="false">CHOOSE(scenario,'Moteur prudent'!AO48,'Moteur central'!AO48,'Moteur ambitieux'!AO48)</f>
        <v>-187149.897988406</v>
      </c>
      <c r="C18" s="32" t="n">
        <f aca="false">CHOOSE(scenario,'Moteur prudent'!AP48,'Moteur central'!AP48,'Moteur ambitieux'!AP48)</f>
        <v>-99583.1664590814</v>
      </c>
      <c r="D18" s="32" t="n">
        <f aca="false">CHOOSE(scenario,'Moteur prudent'!AQ48,'Moteur central'!AQ48,'Moteur ambitieux'!AQ48)</f>
        <v>52451.0790506509</v>
      </c>
    </row>
    <row r="19" customFormat="false" ht="15" hidden="false" customHeight="false" outlineLevel="0" collapsed="false">
      <c r="A19" s="10" t="s">
        <v>227</v>
      </c>
      <c r="B19" s="34" t="n">
        <f aca="false">CHOOSE(scenario,'Moteur prudent'!AO49,'Moteur central'!AO49,'Moteur ambitieux'!AO49)</f>
        <v>-1.35182547965352</v>
      </c>
      <c r="C19" s="34" t="n">
        <f aca="false">CHOOSE(scenario,'Moteur prudent'!AP49,'Moteur central'!AP49,'Moteur ambitieux'!AP49)</f>
        <v>-0.185161873436542</v>
      </c>
      <c r="D19" s="34" t="n">
        <f aca="false">CHOOSE(scenario,'Moteur prudent'!AQ49,'Moteur central'!AQ49,'Moteur ambitieux'!AQ49)</f>
        <v>0.046795135829732</v>
      </c>
    </row>
    <row r="20" customFormat="false" ht="15" hidden="false" customHeight="false" outlineLevel="0" collapsed="false">
      <c r="A20" s="10" t="s">
        <v>269</v>
      </c>
      <c r="B20" s="33" t="n">
        <f aca="false">CHOOSE(scenario,'Moteur prudent'!AO64,'Moteur central'!AO64,'Moteur ambitieux'!AO64)</f>
        <v>33582.3377754994</v>
      </c>
      <c r="C20" s="33" t="n">
        <f aca="false">CHOOSE(scenario,'Moteur prudent'!AP64,'Moteur central'!AP64,'Moteur ambitieux'!AP64)</f>
        <v>40417.6061674641</v>
      </c>
      <c r="D20" s="33" t="n">
        <f aca="false">CHOOSE(scenario,'Moteur prudent'!AQ64,'Moteur central'!AQ64,'Moteur ambitieux'!AQ64)</f>
        <v>66712.0350850929</v>
      </c>
    </row>
    <row r="21" customFormat="false" ht="15" hidden="false" customHeight="false" outlineLevel="0" collapsed="false">
      <c r="A21" s="10" t="s">
        <v>270</v>
      </c>
      <c r="B21" s="33" t="n">
        <f aca="false">CHOOSE(scenario,'Moteur prudent'!AO62,'Moteur central'!AO62,'Moteur ambitieux'!AO62)</f>
        <v>6814.88085896864</v>
      </c>
      <c r="C21" s="33" t="n">
        <f aca="false">CHOOSE(scenario,'Moteur prudent'!AP62,'Moteur central'!AP62,'Moteur ambitieux'!AP62)</f>
        <v>19224.8338518364</v>
      </c>
      <c r="D21" s="33" t="n">
        <f aca="false">CHOOSE(scenario,'Moteur prudent'!AQ62,'Moteur central'!AQ62,'Moteur ambitieux'!AQ62)</f>
        <v>31198.2883684571</v>
      </c>
    </row>
    <row r="22" customFormat="false" ht="15" hidden="false" customHeight="false" outlineLevel="0" collapsed="false">
      <c r="A22" s="11" t="s">
        <v>271</v>
      </c>
      <c r="B22" s="32" t="n">
        <f aca="false">CHOOSE(scenario,'Moteur prudent'!AO65,'Moteur central'!AO65,'Moteur ambitieux'!AO65)</f>
        <v>-227547.116622874</v>
      </c>
      <c r="C22" s="32" t="n">
        <f aca="false">CHOOSE(scenario,'Moteur prudent'!AP65,'Moteur central'!AP65,'Moteur ambitieux'!AP65)</f>
        <v>-159225.606478382</v>
      </c>
      <c r="D22" s="32" t="n">
        <f aca="false">CHOOSE(scenario,'Moteur prudent'!AQ65,'Moteur central'!AQ65,'Moteur ambitieux'!AQ65)</f>
        <v>-45459.2444028991</v>
      </c>
    </row>
    <row r="23" customFormat="false" ht="15" hidden="false" customHeight="false" outlineLevel="0" collapsed="false">
      <c r="A23" s="10" t="s">
        <v>272</v>
      </c>
      <c r="B23" s="33" t="n">
        <f aca="false">CHOOSE(scenario,'Moteur prudent'!AO67,'Moteur central'!AO67,'Moteur ambitieux'!AO67)</f>
        <v>8936.36504614646</v>
      </c>
      <c r="C23" s="33" t="n">
        <f aca="false">CHOOSE(scenario,'Moteur prudent'!AP67,'Moteur central'!AP67,'Moteur ambitieux'!AP67)</f>
        <v>8124.57032699234</v>
      </c>
      <c r="D23" s="33" t="n">
        <f aca="false">CHOOSE(scenario,'Moteur prudent'!AQ67,'Moteur central'!AQ67,'Moteur ambitieux'!AQ67)</f>
        <v>6012.59875003863</v>
      </c>
    </row>
    <row r="24" customFormat="false" ht="15" hidden="false" customHeight="false" outlineLevel="0" collapsed="false">
      <c r="A24" s="11" t="s">
        <v>273</v>
      </c>
      <c r="B24" s="32" t="n">
        <f aca="false">CHOOSE(scenario,'Moteur prudent'!AO72,'Moteur central'!AO72,'Moteur ambitieux'!AO72)</f>
        <v>-236483.48166902</v>
      </c>
      <c r="C24" s="32" t="n">
        <f aca="false">CHOOSE(scenario,'Moteur prudent'!AP72,'Moteur central'!AP72,'Moteur ambitieux'!AP72)</f>
        <v>-167350.176805374</v>
      </c>
      <c r="D24" s="32" t="n">
        <f aca="false">CHOOSE(scenario,'Moteur prudent'!AQ72,'Moteur central'!AQ72,'Moteur ambitieux'!AQ72)</f>
        <v>-51471.8431529377</v>
      </c>
    </row>
    <row r="25" customFormat="false" ht="15" hidden="false" customHeight="false" outlineLevel="0" collapsed="false">
      <c r="A25" s="10" t="s">
        <v>274</v>
      </c>
      <c r="B25" s="33" t="n">
        <f aca="false">CHOOSE(scenario,'Moteur prudent'!AO73,'Moteur central'!AO73,'Moteur ambitieux'!AO73)</f>
        <v>0</v>
      </c>
      <c r="C25" s="33" t="n">
        <f aca="false">CHOOSE(scenario,'Moteur prudent'!AP73,'Moteur central'!AP73,'Moteur ambitieux'!AP73)</f>
        <v>0</v>
      </c>
      <c r="D25" s="33" t="n">
        <f aca="false">CHOOSE(scenario,'Moteur prudent'!AQ73,'Moteur central'!AQ73,'Moteur ambitieux'!AQ73)</f>
        <v>0</v>
      </c>
    </row>
    <row r="26" customFormat="false" ht="15" hidden="false" customHeight="false" outlineLevel="0" collapsed="false">
      <c r="A26" s="11" t="s">
        <v>228</v>
      </c>
      <c r="B26" s="32" t="n">
        <f aca="false">CHOOSE(scenario,'Moteur prudent'!AO75,'Moteur central'!AO75,'Moteur ambitieux'!AO75)</f>
        <v>-236483.48166902</v>
      </c>
      <c r="C26" s="32" t="n">
        <f aca="false">CHOOSE(scenario,'Moteur prudent'!AP75,'Moteur central'!AP75,'Moteur ambitieux'!AP75)</f>
        <v>-167350.176805374</v>
      </c>
      <c r="D26" s="32" t="n">
        <f aca="false">CHOOSE(scenario,'Moteur prudent'!AQ75,'Moteur central'!AQ75,'Moteur ambitieux'!AQ75)</f>
        <v>-51471.8431529377</v>
      </c>
    </row>
    <row r="27" customFormat="false" ht="15" hidden="false" customHeight="false" outlineLevel="0" collapsed="false">
      <c r="A27" s="5" t="s">
        <v>275</v>
      </c>
      <c r="B27" s="42"/>
      <c r="C27" s="42"/>
      <c r="D27" s="42"/>
    </row>
    <row r="28" customFormat="false" ht="15" hidden="false" customHeight="false" outlineLevel="0" collapsed="false">
      <c r="A28" s="10" t="s">
        <v>276</v>
      </c>
      <c r="B28" s="33" t="n">
        <f aca="false">CHOOSE(scenario,'Moteur prudent'!AO10,'Moteur central'!AO10,'Moteur ambitieux'!AO10)</f>
        <v>56.1942041766924</v>
      </c>
      <c r="C28" s="33" t="n">
        <f aca="false">CHOOSE(scenario,'Moteur prudent'!AP10,'Moteur central'!AP10,'Moteur ambitieux'!AP10)</f>
        <v>161.003919930753</v>
      </c>
      <c r="D28" s="33" t="n">
        <f aca="false">CHOOSE(scenario,'Moteur prudent'!AQ10,'Moteur central'!AQ10,'Moteur ambitieux'!AQ10)</f>
        <v>285.394881630546</v>
      </c>
    </row>
    <row r="29" customFormat="false" ht="15" hidden="false" customHeight="false" outlineLevel="0" collapsed="false">
      <c r="A29" s="10" t="s">
        <v>277</v>
      </c>
      <c r="B29" s="33" t="n">
        <f aca="false">CHOOSE(scenario,'Moteur prudent'!AO13,'Moteur central'!AO13,'Moteur ambitieux'!AO13)</f>
        <v>249955.455841715</v>
      </c>
      <c r="C29" s="33" t="n">
        <f aca="false">CHOOSE(scenario,'Moteur prudent'!AP13,'Moteur central'!AP13,'Moteur ambitieux'!AP13)</f>
        <v>951718.320760499</v>
      </c>
      <c r="D29" s="33" t="n">
        <f aca="false">CHOOSE(scenario,'Moteur prudent'!AQ13,'Moteur central'!AQ13,'Moteur ambitieux'!AQ13)</f>
        <v>1944372.91371354</v>
      </c>
    </row>
    <row r="30" customFormat="false" ht="15" hidden="false" customHeight="false" outlineLevel="0" collapsed="false">
      <c r="A30" s="10" t="s">
        <v>278</v>
      </c>
      <c r="B30" s="33" t="n">
        <f aca="false">CHOOSE(scenario,'Moteur prudent'!AO33,'Moteur central'!AO33,'Moteur ambitieux'!AO33)</f>
        <v>5</v>
      </c>
      <c r="C30" s="33" t="n">
        <f aca="false">CHOOSE(scenario,'Moteur prudent'!AP33,'Moteur central'!AP33,'Moteur ambitieux'!AP33)</f>
        <v>9</v>
      </c>
      <c r="D30" s="33" t="n">
        <f aca="false">CHOOSE(scenario,'Moteur prudent'!AQ33,'Moteur central'!AQ33,'Moteur ambitieux'!AQ33)</f>
        <v>14</v>
      </c>
    </row>
    <row r="31" customFormat="false" ht="15" hidden="false" customHeight="false" outlineLevel="0" collapsed="false">
      <c r="A31" s="10" t="s">
        <v>279</v>
      </c>
      <c r="B31" s="33" t="n">
        <f aca="false">CHOOSE(scenario,'Moteur prudent'!AO41,'Moteur central'!AO41,'Moteur ambitieux'!AO41)</f>
        <v>1</v>
      </c>
      <c r="C31" s="33" t="n">
        <f aca="false">CHOOSE(scenario,'Moteur prudent'!AP41,'Moteur central'!AP41,'Moteur ambitieux'!AP41)</f>
        <v>2</v>
      </c>
      <c r="D31" s="33" t="n">
        <f aca="false">CHOOSE(scenario,'Moteur prudent'!AQ41,'Moteur central'!AQ41,'Moteur ambitieux'!AQ41)</f>
        <v>2</v>
      </c>
    </row>
    <row r="32" customFormat="false" ht="15" hidden="false" customHeight="false" outlineLevel="0" collapsed="false">
      <c r="A32" s="10" t="s">
        <v>280</v>
      </c>
      <c r="B32" s="33" t="n">
        <f aca="false">CHOOSE(scenario,'Moteur prudent'!AO74,'Moteur central'!AO74,'Moteur ambitieux'!AO74)</f>
        <v>236483.48166902</v>
      </c>
      <c r="C32" s="33" t="n">
        <f aca="false">CHOOSE(scenario,'Moteur prudent'!AP74,'Moteur central'!AP74,'Moteur ambitieux'!AP74)</f>
        <v>403833.658474394</v>
      </c>
      <c r="D32" s="33" t="n">
        <f aca="false">CHOOSE(scenario,'Moteur prudent'!AQ74,'Moteur central'!AQ74,'Moteur ambitieux'!AQ74)</f>
        <v>455305.501627332</v>
      </c>
    </row>
    <row r="34" customFormat="false" ht="15" hidden="false" customHeight="false" outlineLevel="0" collapsed="false">
      <c r="A34" s="2" t="s">
        <v>281</v>
      </c>
    </row>
    <row r="35" customFormat="false" ht="15" hidden="false" customHeight="false" outlineLevel="0" collapsed="false">
      <c r="A35" s="2" t="s">
        <v>282</v>
      </c>
    </row>
    <row r="36" customFormat="false" ht="15" hidden="false" customHeight="false" outlineLevel="0" collapsed="false">
      <c r="A36" s="2" t="s">
        <v>283</v>
      </c>
    </row>
    <row r="37" customFormat="false" ht="15" hidden="false" customHeight="false" outlineLevel="0" collapsed="false">
      <c r="A37" s="2" t="s">
        <v>284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false"/>
  </sheetPr>
  <dimension ref="A1:AP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37" min="2" style="0" width="10.51"/>
    <col collapsed="false" customWidth="true" hidden="false" outlineLevel="0" max="38" min="38" style="0" width="3"/>
    <col collapsed="false" customWidth="true" hidden="false" outlineLevel="0" max="41" min="39" style="0" width="12.5"/>
  </cols>
  <sheetData>
    <row r="1" customFormat="false" ht="17.35" hidden="false" customHeight="false" outlineLevel="0" collapsed="false">
      <c r="A1" s="1" t="s">
        <v>285</v>
      </c>
    </row>
    <row r="2" customFormat="false" ht="15" hidden="false" customHeight="false" outlineLevel="0" collapsed="false">
      <c r="A2" s="2" t="s">
        <v>286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customFormat="false" ht="15" hidden="false" customHeight="false" outlineLevel="0" collapsed="false">
      <c r="A4" s="11" t="str">
        <f aca="false">"Scénario affiché : "&amp;CHOOSE(scenario,"prudent","central","ambitieux")</f>
        <v>Scénario affiché : central</v>
      </c>
    </row>
    <row r="6" customFormat="false" ht="15" hidden="false" customHeight="false" outlineLevel="0" collapsed="false">
      <c r="A6" s="14" t="s">
        <v>259</v>
      </c>
      <c r="B6" s="43" t="str">
        <f aca="false">'Moteur central'!D$7</f>
        <v>janv. 2027</v>
      </c>
      <c r="C6" s="43" t="str">
        <f aca="false">'Moteur central'!E$7</f>
        <v>févr. 2027</v>
      </c>
      <c r="D6" s="43" t="str">
        <f aca="false">'Moteur central'!F$7</f>
        <v>mars 2027</v>
      </c>
      <c r="E6" s="43" t="str">
        <f aca="false">'Moteur central'!G$7</f>
        <v>avr. 2027</v>
      </c>
      <c r="F6" s="43" t="str">
        <f aca="false">'Moteur central'!H$7</f>
        <v>mai 2027</v>
      </c>
      <c r="G6" s="43" t="str">
        <f aca="false">'Moteur central'!I$7</f>
        <v>juin 2027</v>
      </c>
      <c r="H6" s="43" t="str">
        <f aca="false">'Moteur central'!J$7</f>
        <v>juil. 2027</v>
      </c>
      <c r="I6" s="43" t="str">
        <f aca="false">'Moteur central'!K$7</f>
        <v>août 2027</v>
      </c>
      <c r="J6" s="43" t="str">
        <f aca="false">'Moteur central'!L$7</f>
        <v>sept. 2027</v>
      </c>
      <c r="K6" s="43" t="str">
        <f aca="false">'Moteur central'!M$7</f>
        <v>oct. 2027</v>
      </c>
      <c r="L6" s="43" t="str">
        <f aca="false">'Moteur central'!N$7</f>
        <v>nov. 2027</v>
      </c>
      <c r="M6" s="43" t="str">
        <f aca="false">'Moteur central'!O$7</f>
        <v>déc. 2027</v>
      </c>
      <c r="N6" s="43" t="str">
        <f aca="false">'Moteur central'!P$7</f>
        <v>janv. 2028</v>
      </c>
      <c r="O6" s="43" t="str">
        <f aca="false">'Moteur central'!Q$7</f>
        <v>févr. 2028</v>
      </c>
      <c r="P6" s="43" t="str">
        <f aca="false">'Moteur central'!R$7</f>
        <v>mars 2028</v>
      </c>
      <c r="Q6" s="43" t="str">
        <f aca="false">'Moteur central'!S$7</f>
        <v>avr. 2028</v>
      </c>
      <c r="R6" s="43" t="str">
        <f aca="false">'Moteur central'!T$7</f>
        <v>mai 2028</v>
      </c>
      <c r="S6" s="43" t="str">
        <f aca="false">'Moteur central'!U$7</f>
        <v>juin 2028</v>
      </c>
      <c r="T6" s="43" t="str">
        <f aca="false">'Moteur central'!V$7</f>
        <v>juil. 2028</v>
      </c>
      <c r="U6" s="43" t="str">
        <f aca="false">'Moteur central'!W$7</f>
        <v>août 2028</v>
      </c>
      <c r="V6" s="43" t="str">
        <f aca="false">'Moteur central'!X$7</f>
        <v>sept. 2028</v>
      </c>
      <c r="W6" s="43" t="str">
        <f aca="false">'Moteur central'!Y$7</f>
        <v>oct. 2028</v>
      </c>
      <c r="X6" s="43" t="str">
        <f aca="false">'Moteur central'!Z$7</f>
        <v>nov. 2028</v>
      </c>
      <c r="Y6" s="43" t="str">
        <f aca="false">'Moteur central'!AA$7</f>
        <v>déc. 2028</v>
      </c>
      <c r="Z6" s="43" t="str">
        <f aca="false">'Moteur central'!AB$7</f>
        <v>janv. 2029</v>
      </c>
      <c r="AA6" s="43" t="str">
        <f aca="false">'Moteur central'!AC$7</f>
        <v>févr. 2029</v>
      </c>
      <c r="AB6" s="43" t="str">
        <f aca="false">'Moteur central'!AD$7</f>
        <v>mars 2029</v>
      </c>
      <c r="AC6" s="43" t="str">
        <f aca="false">'Moteur central'!AE$7</f>
        <v>avr. 2029</v>
      </c>
      <c r="AD6" s="43" t="str">
        <f aca="false">'Moteur central'!AF$7</f>
        <v>mai 2029</v>
      </c>
      <c r="AE6" s="43" t="str">
        <f aca="false">'Moteur central'!AG$7</f>
        <v>juin 2029</v>
      </c>
      <c r="AF6" s="43" t="str">
        <f aca="false">'Moteur central'!AH$7</f>
        <v>juil. 2029</v>
      </c>
      <c r="AG6" s="43" t="str">
        <f aca="false">'Moteur central'!AI$7</f>
        <v>août 2029</v>
      </c>
      <c r="AH6" s="43" t="str">
        <f aca="false">'Moteur central'!AJ$7</f>
        <v>sept. 2029</v>
      </c>
      <c r="AI6" s="43" t="str">
        <f aca="false">'Moteur central'!AK$7</f>
        <v>oct. 2029</v>
      </c>
      <c r="AJ6" s="43" t="str">
        <f aca="false">'Moteur central'!AL$7</f>
        <v>nov. 2029</v>
      </c>
      <c r="AK6" s="43" t="str">
        <f aca="false">'Moteur central'!AM$7</f>
        <v>déc. 2029</v>
      </c>
      <c r="AM6" s="31" t="n">
        <f aca="false">annee_debut+0</f>
        <v>2027</v>
      </c>
      <c r="AN6" s="31" t="n">
        <f aca="false">annee_debut+1</f>
        <v>2028</v>
      </c>
      <c r="AO6" s="31" t="n">
        <f aca="false">annee_debut+2</f>
        <v>2029</v>
      </c>
    </row>
    <row r="7" customFormat="false" ht="15" hidden="false" customHeight="false" outlineLevel="0" collapsed="false">
      <c r="A7" s="5" t="s">
        <v>287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M7" s="42"/>
      <c r="AN7" s="42"/>
      <c r="AO7" s="42"/>
    </row>
    <row r="8" customFormat="false" ht="15" hidden="false" customHeight="false" outlineLevel="0" collapsed="false">
      <c r="A8" s="10" t="s">
        <v>288</v>
      </c>
      <c r="B8" s="33" t="n">
        <f aca="false">CHOOSE(scenario,'Moteur prudent'!D80,'Moteur central'!D80,'Moteur ambitieux'!D80)</f>
        <v>0</v>
      </c>
      <c r="C8" s="33" t="n">
        <f aca="false">CHOOSE(scenario,'Moteur prudent'!E80,'Moteur central'!E80,'Moteur ambitieux'!E80)</f>
        <v>952.5</v>
      </c>
      <c r="D8" s="33" t="n">
        <f aca="false">CHOOSE(scenario,'Moteur prudent'!F80,'Moteur central'!F80,'Moteur ambitieux'!F80)</f>
        <v>2846.07</v>
      </c>
      <c r="E8" s="33" t="n">
        <f aca="false">CHOOSE(scenario,'Moteur prudent'!G80,'Moteur central'!G80,'Moteur ambitieux'!G80)</f>
        <v>4939.76364</v>
      </c>
      <c r="F8" s="33" t="n">
        <f aca="false">CHOOSE(scenario,'Moteur prudent'!H80,'Moteur central'!H80,'Moteur ambitieux'!H80)</f>
        <v>6999.555405216</v>
      </c>
      <c r="G8" s="33" t="n">
        <f aca="false">CHOOSE(scenario,'Moteur prudent'!I80,'Moteur central'!I80,'Moteur ambitieux'!I80)</f>
        <v>9184.43089297728</v>
      </c>
      <c r="H8" s="33" t="n">
        <f aca="false">CHOOSE(scenario,'Moteur prudent'!J80,'Moteur central'!J80,'Moteur ambitieux'!J80)</f>
        <v>11448.2334330539</v>
      </c>
      <c r="I8" s="33" t="n">
        <f aca="false">CHOOSE(scenario,'Moteur prudent'!K80,'Moteur central'!K80,'Moteur ambitieux'!K80)</f>
        <v>13110.3071095944</v>
      </c>
      <c r="J8" s="33" t="n">
        <f aca="false">CHOOSE(scenario,'Moteur prudent'!L80,'Moteur central'!L80,'Moteur ambitieux'!L80)</f>
        <v>11792.3754909816</v>
      </c>
      <c r="K8" s="33" t="n">
        <f aca="false">CHOOSE(scenario,'Moteur prudent'!M80,'Moteur central'!M80,'Moteur ambitieux'!M80)</f>
        <v>16942.5276231879</v>
      </c>
      <c r="L8" s="33" t="n">
        <f aca="false">CHOOSE(scenario,'Moteur prudent'!N80,'Moteur central'!N80,'Moteur ambitieux'!N80)</f>
        <v>18499.1948348744</v>
      </c>
      <c r="M8" s="33" t="n">
        <f aca="false">CHOOSE(scenario,'Moteur prudent'!O80,'Moteur central'!O80,'Moteur ambitieux'!O80)</f>
        <v>19790.521215826</v>
      </c>
      <c r="N8" s="33" t="n">
        <f aca="false">CHOOSE(scenario,'Moteur prudent'!P80,'Moteur central'!P80,'Moteur ambitieux'!P80)</f>
        <v>21936.8716823411</v>
      </c>
      <c r="O8" s="33" t="n">
        <f aca="false">CHOOSE(scenario,'Moteur prudent'!Q80,'Moteur central'!Q80,'Moteur ambitieux'!Q80)</f>
        <v>23650.2624773833</v>
      </c>
      <c r="P8" s="33" t="n">
        <f aca="false">CHOOSE(scenario,'Moteur prudent'!R80,'Moteur central'!R80,'Moteur ambitieux'!R80)</f>
        <v>27252.6593276547</v>
      </c>
      <c r="Q8" s="33" t="n">
        <f aca="false">CHOOSE(scenario,'Moteur prudent'!S80,'Moteur central'!S80,'Moteur ambitieux'!S80)</f>
        <v>32267.5043015051</v>
      </c>
      <c r="R8" s="33" t="n">
        <f aca="false">CHOOSE(scenario,'Moteur prudent'!T80,'Moteur central'!T80,'Moteur ambitieux'!T80)</f>
        <v>36598.8177551481</v>
      </c>
      <c r="S8" s="33" t="n">
        <f aca="false">CHOOSE(scenario,'Moteur prudent'!U80,'Moteur central'!U80,'Moteur ambitieux'!U80)</f>
        <v>41374.4401768833</v>
      </c>
      <c r="T8" s="33" t="n">
        <f aca="false">CHOOSE(scenario,'Moteur prudent'!V80,'Moteur central'!V80,'Moteur ambitieux'!V80)</f>
        <v>46300.2163107401</v>
      </c>
      <c r="U8" s="33" t="n">
        <f aca="false">CHOOSE(scenario,'Moteur prudent'!W80,'Moteur central'!W80,'Moteur ambitieux'!W80)</f>
        <v>48843.1707320236</v>
      </c>
      <c r="V8" s="33" t="n">
        <f aca="false">CHOOSE(scenario,'Moteur prudent'!X80,'Moteur central'!X80,'Moteur ambitieux'!X80)</f>
        <v>41177.2614566409</v>
      </c>
      <c r="W8" s="33" t="n">
        <f aca="false">CHOOSE(scenario,'Moteur prudent'!Y80,'Moteur central'!Y80,'Moteur ambitieux'!Y80)</f>
        <v>56133.7272510404</v>
      </c>
      <c r="X8" s="33" t="n">
        <f aca="false">CHOOSE(scenario,'Moteur prudent'!Z80,'Moteur central'!Z80,'Moteur ambitieux'!Z80)</f>
        <v>58682.4976746922</v>
      </c>
      <c r="Y8" s="33" t="n">
        <f aca="false">CHOOSE(scenario,'Moteur prudent'!AA80,'Moteur central'!AA80,'Moteur ambitieux'!AA80)</f>
        <v>60520.1288758803</v>
      </c>
      <c r="Z8" s="33" t="n">
        <f aca="false">CHOOSE(scenario,'Moteur prudent'!AB80,'Moteur central'!AB80,'Moteur ambitieux'!AB80)</f>
        <v>65016.1147698998</v>
      </c>
      <c r="AA8" s="33" t="n">
        <f aca="false">CHOOSE(scenario,'Moteur prudent'!AC80,'Moteur central'!AC80,'Moteur ambitieux'!AC80)</f>
        <v>66014.3564493745</v>
      </c>
      <c r="AB8" s="33" t="n">
        <f aca="false">CHOOSE(scenario,'Moteur prudent'!AD80,'Moteur central'!AD80,'Moteur ambitieux'!AD80)</f>
        <v>70375.2853719819</v>
      </c>
      <c r="AC8" s="33" t="n">
        <f aca="false">CHOOSE(scenario,'Moteur prudent'!AE80,'Moteur central'!AE80,'Moteur ambitieux'!AE80)</f>
        <v>78212.2555796844</v>
      </c>
      <c r="AD8" s="33" t="n">
        <f aca="false">CHOOSE(scenario,'Moteur prudent'!AF80,'Moteur central'!AF80,'Moteur ambitieux'!AF80)</f>
        <v>84162.0575379203</v>
      </c>
      <c r="AE8" s="33" t="n">
        <f aca="false">CHOOSE(scenario,'Moteur prudent'!AG80,'Moteur central'!AG80,'Moteur ambitieux'!AG80)</f>
        <v>91002.9602891999</v>
      </c>
      <c r="AF8" s="33" t="n">
        <f aca="false">CHOOSE(scenario,'Moteur prudent'!AH80,'Moteur central'!AH80,'Moteur ambitieux'!AH80)</f>
        <v>98025.6335930434</v>
      </c>
      <c r="AG8" s="33" t="n">
        <f aca="false">CHOOSE(scenario,'Moteur prudent'!AI80,'Moteur central'!AI80,'Moteur ambitieux'!AI80)</f>
        <v>100044.330367741</v>
      </c>
      <c r="AH8" s="33" t="n">
        <f aca="false">CHOOSE(scenario,'Moteur prudent'!AJ80,'Moteur central'!AJ80,'Moteur ambitieux'!AJ80)</f>
        <v>81933.3449033291</v>
      </c>
      <c r="AI8" s="33" t="n">
        <f aca="false">CHOOSE(scenario,'Moteur prudent'!AK80,'Moteur central'!AK80,'Moteur ambitieux'!AK80)</f>
        <v>108870.009521688</v>
      </c>
      <c r="AJ8" s="33" t="n">
        <f aca="false">CHOOSE(scenario,'Moteur prudent'!AL80,'Moteur central'!AL80,'Moteur ambitieux'!AL80)</f>
        <v>111248.983658235</v>
      </c>
      <c r="AK8" s="33" t="n">
        <f aca="false">CHOOSE(scenario,'Moteur prudent'!AM80,'Moteur central'!AM80,'Moteur ambitieux'!AM80)</f>
        <v>112413.842125232</v>
      </c>
      <c r="AM8" s="33" t="n">
        <f aca="false">CHOOSE(scenario,'Moteur prudent'!AO80,'Moteur central'!AO80,'Moteur ambitieux'!AO80)</f>
        <v>116505.479645712</v>
      </c>
      <c r="AN8" s="33" t="n">
        <f aca="false">CHOOSE(scenario,'Moteur prudent'!AP80,'Moteur central'!AP80,'Moteur ambitieux'!AP80)</f>
        <v>494737.558021933</v>
      </c>
      <c r="AO8" s="33" t="n">
        <f aca="false">CHOOSE(scenario,'Moteur prudent'!AQ80,'Moteur central'!AQ80,'Moteur ambitieux'!AQ80)</f>
        <v>1067319.17416733</v>
      </c>
    </row>
    <row r="9" customFormat="false" ht="15" hidden="false" customHeight="false" outlineLevel="0" collapsed="false">
      <c r="A9" s="10" t="s">
        <v>289</v>
      </c>
      <c r="B9" s="33" t="n">
        <f aca="false">-CHOOSE(scenario,'Moteur prudent'!D81,'Moteur central'!D81,'Moteur ambitieux'!D81)</f>
        <v>-0</v>
      </c>
      <c r="C9" s="33" t="n">
        <f aca="false">-CHOOSE(scenario,'Moteur prudent'!E81,'Moteur central'!E81,'Moteur ambitieux'!E81)</f>
        <v>-9347.54</v>
      </c>
      <c r="D9" s="33" t="n">
        <f aca="false">-CHOOSE(scenario,'Moteur prudent'!F81,'Moteur central'!F81,'Moteur ambitieux'!F81)</f>
        <v>-9939.04952</v>
      </c>
      <c r="E9" s="33" t="n">
        <f aca="false">-CHOOSE(scenario,'Moteur prudent'!G81,'Moteur central'!G81,'Moteur ambitieux'!G81)</f>
        <v>-10601.0115008</v>
      </c>
      <c r="F9" s="33" t="n">
        <f aca="false">-CHOOSE(scenario,'Moteur prudent'!H81,'Moteur central'!H81,'Moteur ambitieux'!H81)</f>
        <v>-11251.9753500462</v>
      </c>
      <c r="G9" s="33" t="n">
        <f aca="false">-CHOOSE(scenario,'Moteur prudent'!I81,'Moteur central'!I81,'Moteur ambitieux'!I81)</f>
        <v>-11947.2584589588</v>
      </c>
      <c r="H9" s="33" t="n">
        <f aca="false">-CHOOSE(scenario,'Moteur prudent'!J81,'Moteur central'!J81,'Moteur ambitieux'!J81)</f>
        <v>-12670.788824807</v>
      </c>
      <c r="I9" s="33" t="n">
        <f aca="false">-CHOOSE(scenario,'Moteur prudent'!K81,'Moteur central'!K81,'Moteur ambitieux'!K81)</f>
        <v>-13185.6888211618</v>
      </c>
      <c r="J9" s="33" t="n">
        <f aca="false">-CHOOSE(scenario,'Moteur prudent'!L81,'Moteur central'!L81,'Moteur ambitieux'!L81)</f>
        <v>-12664.3089945203</v>
      </c>
      <c r="K9" s="33" t="n">
        <f aca="false">-CHOOSE(scenario,'Moteur prudent'!M81,'Moteur central'!M81,'Moteur ambitieux'!M81)</f>
        <v>-14394.5751886442</v>
      </c>
      <c r="L9" s="33" t="n">
        <f aca="false">-CHOOSE(scenario,'Moteur prudent'!N81,'Moteur central'!N81,'Moteur ambitieux'!N81)</f>
        <v>-14875.0524714018</v>
      </c>
      <c r="M9" s="33" t="n">
        <f aca="false">-CHOOSE(scenario,'Moteur prudent'!O81,'Moteur central'!O81,'Moteur ambitieux'!O81)</f>
        <v>-15263.9260599466</v>
      </c>
      <c r="N9" s="33" t="n">
        <f aca="false">-CHOOSE(scenario,'Moteur prudent'!P81,'Moteur central'!P81,'Moteur ambitieux'!P81)</f>
        <v>-15951.0741261718</v>
      </c>
      <c r="O9" s="33" t="n">
        <f aca="false">-CHOOSE(scenario,'Moteur prudent'!Q81,'Moteur central'!Q81,'Moteur ambitieux'!Q81)</f>
        <v>-17128.8205748248</v>
      </c>
      <c r="P9" s="33" t="n">
        <f aca="false">-CHOOSE(scenario,'Moteur prudent'!R81,'Moteur central'!R81,'Moteur ambitieux'!R81)</f>
        <v>-19019.1299279269</v>
      </c>
      <c r="Q9" s="33" t="n">
        <f aca="false">-CHOOSE(scenario,'Moteur prudent'!S81,'Moteur central'!S81,'Moteur ambitieux'!S81)</f>
        <v>-20637.511125044</v>
      </c>
      <c r="R9" s="33" t="n">
        <f aca="false">-CHOOSE(scenario,'Moteur prudent'!T81,'Moteur central'!T81,'Moteur ambitieux'!T81)</f>
        <v>-22019.5447713743</v>
      </c>
      <c r="S9" s="33" t="n">
        <f aca="false">-CHOOSE(scenario,'Moteur prudent'!U81,'Moteur central'!U81,'Moteur ambitieux'!U81)</f>
        <v>-23557.7010998272</v>
      </c>
      <c r="T9" s="33" t="n">
        <f aca="false">-CHOOSE(scenario,'Moteur prudent'!V81,'Moteur central'!V81,'Moteur ambitieux'!V81)</f>
        <v>-25149.5960433901</v>
      </c>
      <c r="U9" s="33" t="n">
        <f aca="false">-CHOOSE(scenario,'Moteur prudent'!W81,'Moteur central'!W81,'Moteur ambitieux'!W81)</f>
        <v>-25913.7363327897</v>
      </c>
      <c r="V9" s="33" t="n">
        <f aca="false">-CHOOSE(scenario,'Moteur prudent'!X81,'Moteur central'!X81,'Moteur ambitieux'!X81)</f>
        <v>-23126.64174994</v>
      </c>
      <c r="W9" s="33" t="n">
        <f aca="false">-CHOOSE(scenario,'Moteur prudent'!Y81,'Moteur central'!Y81,'Moteur ambitieux'!Y81)</f>
        <v>-28978.5659892347</v>
      </c>
      <c r="X9" s="33" t="n">
        <f aca="false">-CHOOSE(scenario,'Moteur prudent'!Z81,'Moteur central'!Z81,'Moteur ambitieux'!Z81)</f>
        <v>-29749.027349795</v>
      </c>
      <c r="Y9" s="33" t="n">
        <f aca="false">-CHOOSE(scenario,'Moteur prudent'!AA81,'Moteur central'!AA81,'Moteur ambitieux'!AA81)</f>
        <v>-30273.4103899005</v>
      </c>
      <c r="Z9" s="33" t="n">
        <f aca="false">-CHOOSE(scenario,'Moteur prudent'!AB81,'Moteur central'!AB81,'Moteur ambitieux'!AB81)</f>
        <v>-32336.2822145261</v>
      </c>
      <c r="AA9" s="33" t="n">
        <f aca="false">-CHOOSE(scenario,'Moteur prudent'!AC81,'Moteur central'!AC81,'Moteur ambitieux'!AC81)</f>
        <v>-33262.2895201542</v>
      </c>
      <c r="AB9" s="33" t="n">
        <f aca="false">-CHOOSE(scenario,'Moteur prudent'!AD81,'Moteur central'!AD81,'Moteur ambitieux'!AD81)</f>
        <v>-34624.5475691123</v>
      </c>
      <c r="AC9" s="33" t="n">
        <f aca="false">-CHOOSE(scenario,'Moteur prudent'!AE81,'Moteur central'!AE81,'Moteur ambitieux'!AE81)</f>
        <v>-37978.6321278768</v>
      </c>
      <c r="AD9" s="33" t="n">
        <f aca="false">-CHOOSE(scenario,'Moteur prudent'!AF81,'Moteur central'!AF81,'Moteur ambitieux'!AF81)</f>
        <v>-39897.5239087092</v>
      </c>
      <c r="AE9" s="33" t="n">
        <f aca="false">-CHOOSE(scenario,'Moteur prudent'!AG81,'Moteur central'!AG81,'Moteur ambitieux'!AG81)</f>
        <v>-42128.3384371283</v>
      </c>
      <c r="AF9" s="33" t="n">
        <f aca="false">-CHOOSE(scenario,'Moteur prudent'!AH81,'Moteur central'!AH81,'Moteur ambitieux'!AH81)</f>
        <v>-44424.206953388</v>
      </c>
      <c r="AG9" s="33" t="n">
        <f aca="false">-CHOOSE(scenario,'Moteur prudent'!AI81,'Moteur central'!AI81,'Moteur ambitieux'!AI81)</f>
        <v>-44980.4678990266</v>
      </c>
      <c r="AH9" s="33" t="n">
        <f aca="false">-CHOOSE(scenario,'Moteur prudent'!AJ81,'Moteur central'!AJ81,'Moteur ambitieux'!AJ81)</f>
        <v>-38533.3543718387</v>
      </c>
      <c r="AI9" s="33" t="n">
        <f aca="false">-CHOOSE(scenario,'Moteur prudent'!AK81,'Moteur central'!AK81,'Moteur ambitieux'!AK81)</f>
        <v>-48544.8569604818</v>
      </c>
      <c r="AJ9" s="33" t="n">
        <f aca="false">-CHOOSE(scenario,'Moteur prudent'!AL81,'Moteur central'!AL81,'Moteur ambitieux'!AL81)</f>
        <v>-49231.6963418369</v>
      </c>
      <c r="AK9" s="33" t="n">
        <f aca="false">-CHOOSE(scenario,'Moteur prudent'!AM81,'Moteur central'!AM81,'Moteur ambitieux'!AM81)</f>
        <v>-49497.7159936066</v>
      </c>
      <c r="AM9" s="33" t="n">
        <f aca="false">-CHOOSE(scenario,'Moteur prudent'!AO81,'Moteur central'!AO81,'Moteur ambitieux'!AO81)</f>
        <v>-136141.175190287</v>
      </c>
      <c r="AN9" s="33" t="n">
        <f aca="false">-CHOOSE(scenario,'Moteur prudent'!AP81,'Moteur central'!AP81,'Moteur ambitieux'!AP81)</f>
        <v>-281504.759480219</v>
      </c>
      <c r="AO9" s="33" t="n">
        <f aca="false">-CHOOSE(scenario,'Moteur prudent'!AQ81,'Moteur central'!AQ81,'Moteur ambitieux'!AQ81)</f>
        <v>-495439.912297686</v>
      </c>
    </row>
    <row r="10" customFormat="false" ht="15" hidden="false" customHeight="false" outlineLevel="0" collapsed="false">
      <c r="A10" s="10" t="s">
        <v>290</v>
      </c>
      <c r="B10" s="33" t="n">
        <f aca="false">-CHOOSE(scenario,'Moteur prudent'!D39,'Moteur central'!D39,'Moteur ambitieux'!D39)</f>
        <v>-10833.3333333333</v>
      </c>
      <c r="C10" s="33" t="n">
        <f aca="false">-CHOOSE(scenario,'Moteur prudent'!E39,'Moteur central'!E39,'Moteur ambitieux'!E39)</f>
        <v>-10833.3333333333</v>
      </c>
      <c r="D10" s="33" t="n">
        <f aca="false">-CHOOSE(scenario,'Moteur prudent'!F39,'Moteur central'!F39,'Moteur ambitieux'!F39)</f>
        <v>-10833.3333333333</v>
      </c>
      <c r="E10" s="33" t="n">
        <f aca="false">-CHOOSE(scenario,'Moteur prudent'!G39,'Moteur central'!G39,'Moteur ambitieux'!G39)</f>
        <v>-15666.6666666667</v>
      </c>
      <c r="F10" s="33" t="n">
        <f aca="false">-CHOOSE(scenario,'Moteur prudent'!H39,'Moteur central'!H39,'Moteur ambitieux'!H39)</f>
        <v>-15666.6666666667</v>
      </c>
      <c r="G10" s="33" t="n">
        <f aca="false">-CHOOSE(scenario,'Moteur prudent'!I39,'Moteur central'!I39,'Moteur ambitieux'!I39)</f>
        <v>-15666.6666666667</v>
      </c>
      <c r="H10" s="33" t="n">
        <f aca="false">-CHOOSE(scenario,'Moteur prudent'!J39,'Moteur central'!J39,'Moteur ambitieux'!J39)</f>
        <v>-15666.6666666667</v>
      </c>
      <c r="I10" s="33" t="n">
        <f aca="false">-CHOOSE(scenario,'Moteur prudent'!K39,'Moteur central'!K39,'Moteur ambitieux'!K39)</f>
        <v>-15666.6666666667</v>
      </c>
      <c r="J10" s="33" t="n">
        <f aca="false">-CHOOSE(scenario,'Moteur prudent'!L39,'Moteur central'!L39,'Moteur ambitieux'!L39)</f>
        <v>-15666.6666666667</v>
      </c>
      <c r="K10" s="33" t="n">
        <f aca="false">-CHOOSE(scenario,'Moteur prudent'!M39,'Moteur central'!M39,'Moteur ambitieux'!M39)</f>
        <v>-15666.6666666667</v>
      </c>
      <c r="L10" s="33" t="n">
        <f aca="false">-CHOOSE(scenario,'Moteur prudent'!N39,'Moteur central'!N39,'Moteur ambitieux'!N39)</f>
        <v>-15666.6666666667</v>
      </c>
      <c r="M10" s="33" t="n">
        <f aca="false">-CHOOSE(scenario,'Moteur prudent'!O39,'Moteur central'!O39,'Moteur ambitieux'!O39)</f>
        <v>-15666.6666666667</v>
      </c>
      <c r="N10" s="33" t="n">
        <f aca="false">-CHOOSE(scenario,'Moteur prudent'!P39,'Moteur central'!P39,'Moteur ambitieux'!P39)</f>
        <v>-22300</v>
      </c>
      <c r="O10" s="33" t="n">
        <f aca="false">-CHOOSE(scenario,'Moteur prudent'!Q39,'Moteur central'!Q39,'Moteur ambitieux'!Q39)</f>
        <v>-25360</v>
      </c>
      <c r="P10" s="33" t="n">
        <f aca="false">-CHOOSE(scenario,'Moteur prudent'!R39,'Moteur central'!R39,'Moteur ambitieux'!R39)</f>
        <v>-25360</v>
      </c>
      <c r="Q10" s="33" t="n">
        <f aca="false">-CHOOSE(scenario,'Moteur prudent'!S39,'Moteur central'!S39,'Moteur ambitieux'!S39)</f>
        <v>-28250</v>
      </c>
      <c r="R10" s="33" t="n">
        <f aca="false">-CHOOSE(scenario,'Moteur prudent'!T39,'Moteur central'!T39,'Moteur ambitieux'!T39)</f>
        <v>-28250</v>
      </c>
      <c r="S10" s="33" t="n">
        <f aca="false">-CHOOSE(scenario,'Moteur prudent'!U39,'Moteur central'!U39,'Moteur ambitieux'!U39)</f>
        <v>-28250</v>
      </c>
      <c r="T10" s="33" t="n">
        <f aca="false">-CHOOSE(scenario,'Moteur prudent'!V39,'Moteur central'!V39,'Moteur ambitieux'!V39)</f>
        <v>-28250</v>
      </c>
      <c r="U10" s="33" t="n">
        <f aca="false">-CHOOSE(scenario,'Moteur prudent'!W39,'Moteur central'!W39,'Moteur ambitieux'!W39)</f>
        <v>-28250</v>
      </c>
      <c r="V10" s="33" t="n">
        <f aca="false">-CHOOSE(scenario,'Moteur prudent'!X39,'Moteur central'!X39,'Moteur ambitieux'!X39)</f>
        <v>-31310</v>
      </c>
      <c r="W10" s="33" t="n">
        <f aca="false">-CHOOSE(scenario,'Moteur prudent'!Y39,'Moteur central'!Y39,'Moteur ambitieux'!Y39)</f>
        <v>-31310</v>
      </c>
      <c r="X10" s="33" t="n">
        <f aca="false">-CHOOSE(scenario,'Moteur prudent'!Z39,'Moteur central'!Z39,'Moteur ambitieux'!Z39)</f>
        <v>-31310</v>
      </c>
      <c r="Y10" s="33" t="n">
        <f aca="false">-CHOOSE(scenario,'Moteur prudent'!AA39,'Moteur central'!AA39,'Moteur ambitieux'!AA39)</f>
        <v>-31310</v>
      </c>
      <c r="Z10" s="33" t="n">
        <f aca="false">-CHOOSE(scenario,'Moteur prudent'!AB39,'Moteur central'!AB39,'Moteur ambitieux'!AB39)</f>
        <v>-38824.8</v>
      </c>
      <c r="AA10" s="33" t="n">
        <f aca="false">-CHOOSE(scenario,'Moteur prudent'!AC39,'Moteur central'!AC39,'Moteur ambitieux'!AC39)</f>
        <v>-41772.6</v>
      </c>
      <c r="AB10" s="33" t="n">
        <f aca="false">-CHOOSE(scenario,'Moteur prudent'!AD39,'Moteur central'!AD39,'Moteur ambitieux'!AD39)</f>
        <v>-44893.8</v>
      </c>
      <c r="AC10" s="33" t="n">
        <f aca="false">-CHOOSE(scenario,'Moteur prudent'!AE39,'Moteur central'!AE39,'Moteur ambitieux'!AE39)</f>
        <v>-44893.8</v>
      </c>
      <c r="AD10" s="33" t="n">
        <f aca="false">-CHOOSE(scenario,'Moteur prudent'!AF39,'Moteur central'!AF39,'Moteur ambitieux'!AF39)</f>
        <v>-44893.8</v>
      </c>
      <c r="AE10" s="33" t="n">
        <f aca="false">-CHOOSE(scenario,'Moteur prudent'!AG39,'Moteur central'!AG39,'Moteur ambitieux'!AG39)</f>
        <v>-44893.8</v>
      </c>
      <c r="AF10" s="33" t="n">
        <f aca="false">-CHOOSE(scenario,'Moteur prudent'!AH39,'Moteur central'!AH39,'Moteur ambitieux'!AH39)</f>
        <v>-44893.8</v>
      </c>
      <c r="AG10" s="33" t="n">
        <f aca="false">-CHOOSE(scenario,'Moteur prudent'!AI39,'Moteur central'!AI39,'Moteur ambitieux'!AI39)</f>
        <v>-44893.8</v>
      </c>
      <c r="AH10" s="33" t="n">
        <f aca="false">-CHOOSE(scenario,'Moteur prudent'!AJ39,'Moteur central'!AJ39,'Moteur ambitieux'!AJ39)</f>
        <v>-50962.8</v>
      </c>
      <c r="AI10" s="33" t="n">
        <f aca="false">-CHOOSE(scenario,'Moteur prudent'!AK39,'Moteur central'!AK39,'Moteur ambitieux'!AK39)</f>
        <v>-50962.8</v>
      </c>
      <c r="AJ10" s="33" t="n">
        <f aca="false">-CHOOSE(scenario,'Moteur prudent'!AL39,'Moteur central'!AL39,'Moteur ambitieux'!AL39)</f>
        <v>-50962.8</v>
      </c>
      <c r="AK10" s="33" t="n">
        <f aca="false">-CHOOSE(scenario,'Moteur prudent'!AM39,'Moteur central'!AM39,'Moteur ambitieux'!AM39)</f>
        <v>-50962.8</v>
      </c>
      <c r="AM10" s="33" t="n">
        <f aca="false">-CHOOSE(scenario,'Moteur prudent'!AO39,'Moteur central'!AO39,'Moteur ambitieux'!AO39)</f>
        <v>-173500</v>
      </c>
      <c r="AN10" s="33" t="n">
        <f aca="false">-CHOOSE(scenario,'Moteur prudent'!AP39,'Moteur central'!AP39,'Moteur ambitieux'!AP39)</f>
        <v>-339510</v>
      </c>
      <c r="AO10" s="33" t="n">
        <f aca="false">-CHOOSE(scenario,'Moteur prudent'!AQ39,'Moteur central'!AQ39,'Moteur ambitieux'!AQ39)</f>
        <v>-553811.4</v>
      </c>
    </row>
    <row r="11" customFormat="false" ht="15" hidden="false" customHeight="false" outlineLevel="0" collapsed="false">
      <c r="A11" s="10" t="s">
        <v>274</v>
      </c>
      <c r="B11" s="33" t="n">
        <f aca="false">-CHOOSE(scenario,'Moteur prudent'!D73,'Moteur central'!D73,'Moteur ambitieux'!D73)</f>
        <v>-0</v>
      </c>
      <c r="C11" s="33" t="n">
        <f aca="false">-CHOOSE(scenario,'Moteur prudent'!E73,'Moteur central'!E73,'Moteur ambitieux'!E73)</f>
        <v>-0</v>
      </c>
      <c r="D11" s="33" t="n">
        <f aca="false">-CHOOSE(scenario,'Moteur prudent'!F73,'Moteur central'!F73,'Moteur ambitieux'!F73)</f>
        <v>-0</v>
      </c>
      <c r="E11" s="33" t="n">
        <f aca="false">-CHOOSE(scenario,'Moteur prudent'!G73,'Moteur central'!G73,'Moteur ambitieux'!G73)</f>
        <v>-0</v>
      </c>
      <c r="F11" s="33" t="n">
        <f aca="false">-CHOOSE(scenario,'Moteur prudent'!H73,'Moteur central'!H73,'Moteur ambitieux'!H73)</f>
        <v>-0</v>
      </c>
      <c r="G11" s="33" t="n">
        <f aca="false">-CHOOSE(scenario,'Moteur prudent'!I73,'Moteur central'!I73,'Moteur ambitieux'!I73)</f>
        <v>-0</v>
      </c>
      <c r="H11" s="33" t="n">
        <f aca="false">-CHOOSE(scenario,'Moteur prudent'!J73,'Moteur central'!J73,'Moteur ambitieux'!J73)</f>
        <v>-0</v>
      </c>
      <c r="I11" s="33" t="n">
        <f aca="false">-CHOOSE(scenario,'Moteur prudent'!K73,'Moteur central'!K73,'Moteur ambitieux'!K73)</f>
        <v>-0</v>
      </c>
      <c r="J11" s="33" t="n">
        <f aca="false">-CHOOSE(scenario,'Moteur prudent'!L73,'Moteur central'!L73,'Moteur ambitieux'!L73)</f>
        <v>-0</v>
      </c>
      <c r="K11" s="33" t="n">
        <f aca="false">-CHOOSE(scenario,'Moteur prudent'!M73,'Moteur central'!M73,'Moteur ambitieux'!M73)</f>
        <v>-0</v>
      </c>
      <c r="L11" s="33" t="n">
        <f aca="false">-CHOOSE(scenario,'Moteur prudent'!N73,'Moteur central'!N73,'Moteur ambitieux'!N73)</f>
        <v>-0</v>
      </c>
      <c r="M11" s="33" t="n">
        <f aca="false">-CHOOSE(scenario,'Moteur prudent'!O73,'Moteur central'!O73,'Moteur ambitieux'!O73)</f>
        <v>-0</v>
      </c>
      <c r="N11" s="33" t="n">
        <f aca="false">-CHOOSE(scenario,'Moteur prudent'!P73,'Moteur central'!P73,'Moteur ambitieux'!P73)</f>
        <v>-0</v>
      </c>
      <c r="O11" s="33" t="n">
        <f aca="false">-CHOOSE(scenario,'Moteur prudent'!Q73,'Moteur central'!Q73,'Moteur ambitieux'!Q73)</f>
        <v>-0</v>
      </c>
      <c r="P11" s="33" t="n">
        <f aca="false">-CHOOSE(scenario,'Moteur prudent'!R73,'Moteur central'!R73,'Moteur ambitieux'!R73)</f>
        <v>-0</v>
      </c>
      <c r="Q11" s="33" t="n">
        <f aca="false">-CHOOSE(scenario,'Moteur prudent'!S73,'Moteur central'!S73,'Moteur ambitieux'!S73)</f>
        <v>-0</v>
      </c>
      <c r="R11" s="33" t="n">
        <f aca="false">-CHOOSE(scenario,'Moteur prudent'!T73,'Moteur central'!T73,'Moteur ambitieux'!T73)</f>
        <v>-0</v>
      </c>
      <c r="S11" s="33" t="n">
        <f aca="false">-CHOOSE(scenario,'Moteur prudent'!U73,'Moteur central'!U73,'Moteur ambitieux'!U73)</f>
        <v>-0</v>
      </c>
      <c r="T11" s="33" t="n">
        <f aca="false">-CHOOSE(scenario,'Moteur prudent'!V73,'Moteur central'!V73,'Moteur ambitieux'!V73)</f>
        <v>-0</v>
      </c>
      <c r="U11" s="33" t="n">
        <f aca="false">-CHOOSE(scenario,'Moteur prudent'!W73,'Moteur central'!W73,'Moteur ambitieux'!W73)</f>
        <v>-0</v>
      </c>
      <c r="V11" s="33" t="n">
        <f aca="false">-CHOOSE(scenario,'Moteur prudent'!X73,'Moteur central'!X73,'Moteur ambitieux'!X73)</f>
        <v>-0</v>
      </c>
      <c r="W11" s="33" t="n">
        <f aca="false">-CHOOSE(scenario,'Moteur prudent'!Y73,'Moteur central'!Y73,'Moteur ambitieux'!Y73)</f>
        <v>-0</v>
      </c>
      <c r="X11" s="33" t="n">
        <f aca="false">-CHOOSE(scenario,'Moteur prudent'!Z73,'Moteur central'!Z73,'Moteur ambitieux'!Z73)</f>
        <v>-0</v>
      </c>
      <c r="Y11" s="33" t="n">
        <f aca="false">-CHOOSE(scenario,'Moteur prudent'!AA73,'Moteur central'!AA73,'Moteur ambitieux'!AA73)</f>
        <v>-0</v>
      </c>
      <c r="Z11" s="33" t="n">
        <f aca="false">-CHOOSE(scenario,'Moteur prudent'!AB73,'Moteur central'!AB73,'Moteur ambitieux'!AB73)</f>
        <v>-0</v>
      </c>
      <c r="AA11" s="33" t="n">
        <f aca="false">-CHOOSE(scenario,'Moteur prudent'!AC73,'Moteur central'!AC73,'Moteur ambitieux'!AC73)</f>
        <v>-0</v>
      </c>
      <c r="AB11" s="33" t="n">
        <f aca="false">-CHOOSE(scenario,'Moteur prudent'!AD73,'Moteur central'!AD73,'Moteur ambitieux'!AD73)</f>
        <v>-0</v>
      </c>
      <c r="AC11" s="33" t="n">
        <f aca="false">-CHOOSE(scenario,'Moteur prudent'!AE73,'Moteur central'!AE73,'Moteur ambitieux'!AE73)</f>
        <v>-0</v>
      </c>
      <c r="AD11" s="33" t="n">
        <f aca="false">-CHOOSE(scenario,'Moteur prudent'!AF73,'Moteur central'!AF73,'Moteur ambitieux'!AF73)</f>
        <v>-0</v>
      </c>
      <c r="AE11" s="33" t="n">
        <f aca="false">-CHOOSE(scenario,'Moteur prudent'!AG73,'Moteur central'!AG73,'Moteur ambitieux'!AG73)</f>
        <v>-0</v>
      </c>
      <c r="AF11" s="33" t="n">
        <f aca="false">-CHOOSE(scenario,'Moteur prudent'!AH73,'Moteur central'!AH73,'Moteur ambitieux'!AH73)</f>
        <v>-0</v>
      </c>
      <c r="AG11" s="33" t="n">
        <f aca="false">-CHOOSE(scenario,'Moteur prudent'!AI73,'Moteur central'!AI73,'Moteur ambitieux'!AI73)</f>
        <v>-0</v>
      </c>
      <c r="AH11" s="33" t="n">
        <f aca="false">-CHOOSE(scenario,'Moteur prudent'!AJ73,'Moteur central'!AJ73,'Moteur ambitieux'!AJ73)</f>
        <v>-0</v>
      </c>
      <c r="AI11" s="33" t="n">
        <f aca="false">-CHOOSE(scenario,'Moteur prudent'!AK73,'Moteur central'!AK73,'Moteur ambitieux'!AK73)</f>
        <v>-0</v>
      </c>
      <c r="AJ11" s="33" t="n">
        <f aca="false">-CHOOSE(scenario,'Moteur prudent'!AL73,'Moteur central'!AL73,'Moteur ambitieux'!AL73)</f>
        <v>-0</v>
      </c>
      <c r="AK11" s="33" t="n">
        <f aca="false">-CHOOSE(scenario,'Moteur prudent'!AM73,'Moteur central'!AM73,'Moteur ambitieux'!AM73)</f>
        <v>-0</v>
      </c>
      <c r="AM11" s="33" t="n">
        <f aca="false">-CHOOSE(scenario,'Moteur prudent'!AO73,'Moteur central'!AO73,'Moteur ambitieux'!AO73)</f>
        <v>-0</v>
      </c>
      <c r="AN11" s="33" t="n">
        <f aca="false">-CHOOSE(scenario,'Moteur prudent'!AP73,'Moteur central'!AP73,'Moteur ambitieux'!AP73)</f>
        <v>-0</v>
      </c>
      <c r="AO11" s="33" t="n">
        <f aca="false">-CHOOSE(scenario,'Moteur prudent'!AQ73,'Moteur central'!AQ73,'Moteur ambitieux'!AQ73)</f>
        <v>-0</v>
      </c>
    </row>
    <row r="12" customFormat="false" ht="15" hidden="false" customHeight="false" outlineLevel="0" collapsed="false">
      <c r="A12" s="11" t="s">
        <v>291</v>
      </c>
      <c r="B12" s="32" t="n">
        <f aca="false">CHOOSE(scenario,'Moteur prudent'!D82,'Moteur central'!D82,'Moteur ambitieux'!D82)</f>
        <v>-10833.3333333333</v>
      </c>
      <c r="C12" s="32" t="n">
        <f aca="false">CHOOSE(scenario,'Moteur prudent'!E82,'Moteur central'!E82,'Moteur ambitieux'!E82)</f>
        <v>-19228.3733333333</v>
      </c>
      <c r="D12" s="32" t="n">
        <f aca="false">CHOOSE(scenario,'Moteur prudent'!F82,'Moteur central'!F82,'Moteur ambitieux'!F82)</f>
        <v>-17926.3128533333</v>
      </c>
      <c r="E12" s="32" t="n">
        <f aca="false">CHOOSE(scenario,'Moteur prudent'!G82,'Moteur central'!G82,'Moteur ambitieux'!G82)</f>
        <v>-21327.9145274667</v>
      </c>
      <c r="F12" s="32" t="n">
        <f aca="false">CHOOSE(scenario,'Moteur prudent'!H82,'Moteur central'!H82,'Moteur ambitieux'!H82)</f>
        <v>-19919.0866114969</v>
      </c>
      <c r="G12" s="32" t="n">
        <f aca="false">CHOOSE(scenario,'Moteur prudent'!I82,'Moteur central'!I82,'Moteur ambitieux'!I82)</f>
        <v>-18429.4942326481</v>
      </c>
      <c r="H12" s="32" t="n">
        <f aca="false">CHOOSE(scenario,'Moteur prudent'!J82,'Moteur central'!J82,'Moteur ambitieux'!J82)</f>
        <v>-16889.2220584197</v>
      </c>
      <c r="I12" s="32" t="n">
        <f aca="false">CHOOSE(scenario,'Moteur prudent'!K82,'Moteur central'!K82,'Moteur ambitieux'!K82)</f>
        <v>-15742.0483782341</v>
      </c>
      <c r="J12" s="32" t="n">
        <f aca="false">CHOOSE(scenario,'Moteur prudent'!L82,'Moteur central'!L82,'Moteur ambitieux'!L82)</f>
        <v>-16538.6001702054</v>
      </c>
      <c r="K12" s="32" t="n">
        <f aca="false">CHOOSE(scenario,'Moteur prudent'!M82,'Moteur central'!M82,'Moteur ambitieux'!M82)</f>
        <v>-13118.7142321229</v>
      </c>
      <c r="L12" s="32" t="n">
        <f aca="false">CHOOSE(scenario,'Moteur prudent'!N82,'Moteur central'!N82,'Moteur ambitieux'!N82)</f>
        <v>-12042.5243031941</v>
      </c>
      <c r="M12" s="32" t="n">
        <f aca="false">CHOOSE(scenario,'Moteur prudent'!O82,'Moteur central'!O82,'Moteur ambitieux'!O82)</f>
        <v>-11140.0715107872</v>
      </c>
      <c r="N12" s="32" t="n">
        <f aca="false">CHOOSE(scenario,'Moteur prudent'!P82,'Moteur central'!P82,'Moteur ambitieux'!P82)</f>
        <v>-16314.2024438306</v>
      </c>
      <c r="O12" s="32" t="n">
        <f aca="false">CHOOSE(scenario,'Moteur prudent'!Q82,'Moteur central'!Q82,'Moteur ambitieux'!Q82)</f>
        <v>-18838.5580974415</v>
      </c>
      <c r="P12" s="32" t="n">
        <f aca="false">CHOOSE(scenario,'Moteur prudent'!R82,'Moteur central'!R82,'Moteur ambitieux'!R82)</f>
        <v>-17126.4706002722</v>
      </c>
      <c r="Q12" s="32" t="n">
        <f aca="false">CHOOSE(scenario,'Moteur prudent'!S82,'Moteur central'!S82,'Moteur ambitieux'!S82)</f>
        <v>-16620.0068235389</v>
      </c>
      <c r="R12" s="32" t="n">
        <f aca="false">CHOOSE(scenario,'Moteur prudent'!T82,'Moteur central'!T82,'Moteur ambitieux'!T82)</f>
        <v>-13670.7270162262</v>
      </c>
      <c r="S12" s="32" t="n">
        <f aca="false">CHOOSE(scenario,'Moteur prudent'!U82,'Moteur central'!U82,'Moteur ambitieux'!U82)</f>
        <v>-10433.2609229439</v>
      </c>
      <c r="T12" s="32" t="n">
        <f aca="false">CHOOSE(scenario,'Moteur prudent'!V82,'Moteur central'!V82,'Moteur ambitieux'!V82)</f>
        <v>-7099.37973264997</v>
      </c>
      <c r="U12" s="32" t="n">
        <f aca="false">CHOOSE(scenario,'Moteur prudent'!W82,'Moteur central'!W82,'Moteur ambitieux'!W82)</f>
        <v>-5320.56560076612</v>
      </c>
      <c r="V12" s="32" t="n">
        <f aca="false">CHOOSE(scenario,'Moteur prudent'!X82,'Moteur central'!X82,'Moteur ambitieux'!X82)</f>
        <v>-13259.3802932991</v>
      </c>
      <c r="W12" s="32" t="n">
        <f aca="false">CHOOSE(scenario,'Moteur prudent'!Y82,'Moteur central'!Y82,'Moteur ambitieux'!Y82)</f>
        <v>-4154.83873819425</v>
      </c>
      <c r="X12" s="32" t="n">
        <f aca="false">CHOOSE(scenario,'Moteur prudent'!Z82,'Moteur central'!Z82,'Moteur ambitieux'!Z82)</f>
        <v>-2376.52967510281</v>
      </c>
      <c r="Y12" s="32" t="n">
        <f aca="false">CHOOSE(scenario,'Moteur prudent'!AA82,'Moteur central'!AA82,'Moteur ambitieux'!AA82)</f>
        <v>-1063.28151402013</v>
      </c>
      <c r="Z12" s="32" t="n">
        <f aca="false">CHOOSE(scenario,'Moteur prudent'!AB82,'Moteur central'!AB82,'Moteur ambitieux'!AB82)</f>
        <v>-6144.96744462635</v>
      </c>
      <c r="AA12" s="32" t="n">
        <f aca="false">CHOOSE(scenario,'Moteur prudent'!AC82,'Moteur central'!AC82,'Moteur ambitieux'!AC82)</f>
        <v>-9020.53307077975</v>
      </c>
      <c r="AB12" s="32" t="n">
        <f aca="false">CHOOSE(scenario,'Moteur prudent'!AD82,'Moteur central'!AD82,'Moteur ambitieux'!AD82)</f>
        <v>-9143.0621971304</v>
      </c>
      <c r="AC12" s="32" t="n">
        <f aca="false">CHOOSE(scenario,'Moteur prudent'!AE82,'Moteur central'!AE82,'Moteur ambitieux'!AE82)</f>
        <v>-4660.17654819246</v>
      </c>
      <c r="AD12" s="32" t="n">
        <f aca="false">CHOOSE(scenario,'Moteur prudent'!AF82,'Moteur central'!AF82,'Moteur ambitieux'!AF82)</f>
        <v>-629.266370788897</v>
      </c>
      <c r="AE12" s="32" t="n">
        <f aca="false">CHOOSE(scenario,'Moteur prudent'!AG82,'Moteur central'!AG82,'Moteur ambitieux'!AG82)</f>
        <v>3980.82185207156</v>
      </c>
      <c r="AF12" s="32" t="n">
        <f aca="false">CHOOSE(scenario,'Moteur prudent'!AH82,'Moteur central'!AH82,'Moteur ambitieux'!AH82)</f>
        <v>8707.62663965536</v>
      </c>
      <c r="AG12" s="32" t="n">
        <f aca="false">CHOOSE(scenario,'Moteur prudent'!AI82,'Moteur central'!AI82,'Moteur ambitieux'!AI82)</f>
        <v>10170.0624687142</v>
      </c>
      <c r="AH12" s="32" t="n">
        <f aca="false">CHOOSE(scenario,'Moteur prudent'!AJ82,'Moteur central'!AJ82,'Moteur ambitieux'!AJ82)</f>
        <v>-7562.80946850965</v>
      </c>
      <c r="AI12" s="32" t="n">
        <f aca="false">CHOOSE(scenario,'Moteur prudent'!AK82,'Moteur central'!AK82,'Moteur ambitieux'!AK82)</f>
        <v>9362.3525612061</v>
      </c>
      <c r="AJ12" s="32" t="n">
        <f aca="false">CHOOSE(scenario,'Moteur prudent'!AL82,'Moteur central'!AL82,'Moteur ambitieux'!AL82)</f>
        <v>11054.4873163978</v>
      </c>
      <c r="AK12" s="32" t="n">
        <f aca="false">CHOOSE(scenario,'Moteur prudent'!AM82,'Moteur central'!AM82,'Moteur ambitieux'!AM82)</f>
        <v>11953.3261316252</v>
      </c>
      <c r="AM12" s="32" t="n">
        <f aca="false">CHOOSE(scenario,'Moteur prudent'!AO82,'Moteur central'!AO82,'Moteur ambitieux'!AO82)</f>
        <v>-193135.695544575</v>
      </c>
      <c r="AN12" s="32" t="n">
        <f aca="false">CHOOSE(scenario,'Moteur prudent'!AP82,'Moteur central'!AP82,'Moteur ambitieux'!AP82)</f>
        <v>-126277.201458286</v>
      </c>
      <c r="AO12" s="32" t="n">
        <f aca="false">CHOOSE(scenario,'Moteur prudent'!AQ82,'Moteur central'!AQ82,'Moteur ambitieux'!AQ82)</f>
        <v>18067.8618696427</v>
      </c>
    </row>
    <row r="13" customFormat="false" ht="15" hidden="false" customHeight="false" outlineLevel="0" collapsed="false">
      <c r="A13" s="5" t="s">
        <v>229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M13" s="42"/>
      <c r="AN13" s="42"/>
      <c r="AO13" s="42"/>
    </row>
    <row r="14" customFormat="false" ht="15" hidden="false" customHeight="false" outlineLevel="0" collapsed="false">
      <c r="A14" s="10" t="s">
        <v>292</v>
      </c>
      <c r="B14" s="33" t="n">
        <f aca="false">-CHOOSE(scenario,'Moteur prudent'!D51,'Moteur central'!D51,'Moteur ambitieux'!D51)</f>
        <v>-150000</v>
      </c>
      <c r="C14" s="33" t="n">
        <f aca="false">-CHOOSE(scenario,'Moteur prudent'!E51,'Moteur central'!E51,'Moteur ambitieux'!E51)</f>
        <v>-0</v>
      </c>
      <c r="D14" s="33" t="n">
        <f aca="false">-CHOOSE(scenario,'Moteur prudent'!F51,'Moteur central'!F51,'Moteur ambitieux'!F51)</f>
        <v>-0</v>
      </c>
      <c r="E14" s="33" t="n">
        <f aca="false">-CHOOSE(scenario,'Moteur prudent'!G51,'Moteur central'!G51,'Moteur ambitieux'!G51)</f>
        <v>-0</v>
      </c>
      <c r="F14" s="33" t="n">
        <f aca="false">-CHOOSE(scenario,'Moteur prudent'!H51,'Moteur central'!H51,'Moteur ambitieux'!H51)</f>
        <v>-0</v>
      </c>
      <c r="G14" s="33" t="n">
        <f aca="false">-CHOOSE(scenario,'Moteur prudent'!I51,'Moteur central'!I51,'Moteur ambitieux'!I51)</f>
        <v>-0</v>
      </c>
      <c r="H14" s="33" t="n">
        <f aca="false">-CHOOSE(scenario,'Moteur prudent'!J51,'Moteur central'!J51,'Moteur ambitieux'!J51)</f>
        <v>-0</v>
      </c>
      <c r="I14" s="33" t="n">
        <f aca="false">-CHOOSE(scenario,'Moteur prudent'!K51,'Moteur central'!K51,'Moteur ambitieux'!K51)</f>
        <v>-0</v>
      </c>
      <c r="J14" s="33" t="n">
        <f aca="false">-CHOOSE(scenario,'Moteur prudent'!L51,'Moteur central'!L51,'Moteur ambitieux'!L51)</f>
        <v>-0</v>
      </c>
      <c r="K14" s="33" t="n">
        <f aca="false">-CHOOSE(scenario,'Moteur prudent'!M51,'Moteur central'!M51,'Moteur ambitieux'!M51)</f>
        <v>-0</v>
      </c>
      <c r="L14" s="33" t="n">
        <f aca="false">-CHOOSE(scenario,'Moteur prudent'!N51,'Moteur central'!N51,'Moteur ambitieux'!N51)</f>
        <v>-0</v>
      </c>
      <c r="M14" s="33" t="n">
        <f aca="false">-CHOOSE(scenario,'Moteur prudent'!O51,'Moteur central'!O51,'Moteur ambitieux'!O51)</f>
        <v>-0</v>
      </c>
      <c r="N14" s="33" t="n">
        <f aca="false">-CHOOSE(scenario,'Moteur prudent'!P51,'Moteur central'!P51,'Moteur ambitieux'!P51)</f>
        <v>-0</v>
      </c>
      <c r="O14" s="33" t="n">
        <f aca="false">-CHOOSE(scenario,'Moteur prudent'!Q51,'Moteur central'!Q51,'Moteur ambitieux'!Q51)</f>
        <v>-0</v>
      </c>
      <c r="P14" s="33" t="n">
        <f aca="false">-CHOOSE(scenario,'Moteur prudent'!R51,'Moteur central'!R51,'Moteur ambitieux'!R51)</f>
        <v>-0</v>
      </c>
      <c r="Q14" s="33" t="n">
        <f aca="false">-CHOOSE(scenario,'Moteur prudent'!S51,'Moteur central'!S51,'Moteur ambitieux'!S51)</f>
        <v>-0</v>
      </c>
      <c r="R14" s="33" t="n">
        <f aca="false">-CHOOSE(scenario,'Moteur prudent'!T51,'Moteur central'!T51,'Moteur ambitieux'!T51)</f>
        <v>-0</v>
      </c>
      <c r="S14" s="33" t="n">
        <f aca="false">-CHOOSE(scenario,'Moteur prudent'!U51,'Moteur central'!U51,'Moteur ambitieux'!U51)</f>
        <v>-0</v>
      </c>
      <c r="T14" s="33" t="n">
        <f aca="false">-CHOOSE(scenario,'Moteur prudent'!V51,'Moteur central'!V51,'Moteur ambitieux'!V51)</f>
        <v>-0</v>
      </c>
      <c r="U14" s="33" t="n">
        <f aca="false">-CHOOSE(scenario,'Moteur prudent'!W51,'Moteur central'!W51,'Moteur ambitieux'!W51)</f>
        <v>-0</v>
      </c>
      <c r="V14" s="33" t="n">
        <f aca="false">-CHOOSE(scenario,'Moteur prudent'!X51,'Moteur central'!X51,'Moteur ambitieux'!X51)</f>
        <v>-0</v>
      </c>
      <c r="W14" s="33" t="n">
        <f aca="false">-CHOOSE(scenario,'Moteur prudent'!Y51,'Moteur central'!Y51,'Moteur ambitieux'!Y51)</f>
        <v>-0</v>
      </c>
      <c r="X14" s="33" t="n">
        <f aca="false">-CHOOSE(scenario,'Moteur prudent'!Z51,'Moteur central'!Z51,'Moteur ambitieux'!Z51)</f>
        <v>-0</v>
      </c>
      <c r="Y14" s="33" t="n">
        <f aca="false">-CHOOSE(scenario,'Moteur prudent'!AA51,'Moteur central'!AA51,'Moteur ambitieux'!AA51)</f>
        <v>-150000</v>
      </c>
      <c r="Z14" s="33" t="n">
        <f aca="false">-CHOOSE(scenario,'Moteur prudent'!AB51,'Moteur central'!AB51,'Moteur ambitieux'!AB51)</f>
        <v>-0</v>
      </c>
      <c r="AA14" s="33" t="n">
        <f aca="false">-CHOOSE(scenario,'Moteur prudent'!AC51,'Moteur central'!AC51,'Moteur ambitieux'!AC51)</f>
        <v>-0</v>
      </c>
      <c r="AB14" s="33" t="n">
        <f aca="false">-CHOOSE(scenario,'Moteur prudent'!AD51,'Moteur central'!AD51,'Moteur ambitieux'!AD51)</f>
        <v>-0</v>
      </c>
      <c r="AC14" s="33" t="n">
        <f aca="false">-CHOOSE(scenario,'Moteur prudent'!AE51,'Moteur central'!AE51,'Moteur ambitieux'!AE51)</f>
        <v>-0</v>
      </c>
      <c r="AD14" s="33" t="n">
        <f aca="false">-CHOOSE(scenario,'Moteur prudent'!AF51,'Moteur central'!AF51,'Moteur ambitieux'!AF51)</f>
        <v>-0</v>
      </c>
      <c r="AE14" s="33" t="n">
        <f aca="false">-CHOOSE(scenario,'Moteur prudent'!AG51,'Moteur central'!AG51,'Moteur ambitieux'!AG51)</f>
        <v>-0</v>
      </c>
      <c r="AF14" s="33" t="n">
        <f aca="false">-CHOOSE(scenario,'Moteur prudent'!AH51,'Moteur central'!AH51,'Moteur ambitieux'!AH51)</f>
        <v>-0</v>
      </c>
      <c r="AG14" s="33" t="n">
        <f aca="false">-CHOOSE(scenario,'Moteur prudent'!AI51,'Moteur central'!AI51,'Moteur ambitieux'!AI51)</f>
        <v>-0</v>
      </c>
      <c r="AH14" s="33" t="n">
        <f aca="false">-CHOOSE(scenario,'Moteur prudent'!AJ51,'Moteur central'!AJ51,'Moteur ambitieux'!AJ51)</f>
        <v>-0</v>
      </c>
      <c r="AI14" s="33" t="n">
        <f aca="false">-CHOOSE(scenario,'Moteur prudent'!AK51,'Moteur central'!AK51,'Moteur ambitieux'!AK51)</f>
        <v>-0</v>
      </c>
      <c r="AJ14" s="33" t="n">
        <f aca="false">-CHOOSE(scenario,'Moteur prudent'!AL51,'Moteur central'!AL51,'Moteur ambitieux'!AL51)</f>
        <v>-0</v>
      </c>
      <c r="AK14" s="33" t="n">
        <f aca="false">-CHOOSE(scenario,'Moteur prudent'!AM51,'Moteur central'!AM51,'Moteur ambitieux'!AM51)</f>
        <v>-0</v>
      </c>
      <c r="AM14" s="33" t="n">
        <f aca="false">-CHOOSE(scenario,'Moteur prudent'!AO51,'Moteur central'!AO51,'Moteur ambitieux'!AO51)</f>
        <v>-150000</v>
      </c>
      <c r="AN14" s="33" t="n">
        <f aca="false">-CHOOSE(scenario,'Moteur prudent'!AP51,'Moteur central'!AP51,'Moteur ambitieux'!AP51)</f>
        <v>-150000</v>
      </c>
      <c r="AO14" s="33" t="n">
        <f aca="false">-CHOOSE(scenario,'Moteur prudent'!AQ51,'Moteur central'!AQ51,'Moteur ambitieux'!AQ51)</f>
        <v>-0</v>
      </c>
    </row>
    <row r="15" customFormat="false" ht="15" hidden="false" customHeight="false" outlineLevel="0" collapsed="false">
      <c r="A15" s="10" t="s">
        <v>118</v>
      </c>
      <c r="B15" s="33" t="n">
        <f aca="false">-CHOOSE(scenario,'Moteur prudent'!D52,'Moteur central'!D52,'Moteur ambitieux'!D52)</f>
        <v>-70000</v>
      </c>
      <c r="C15" s="33" t="n">
        <f aca="false">-CHOOSE(scenario,'Moteur prudent'!E52,'Moteur central'!E52,'Moteur ambitieux'!E52)</f>
        <v>-0</v>
      </c>
      <c r="D15" s="33" t="n">
        <f aca="false">-CHOOSE(scenario,'Moteur prudent'!F52,'Moteur central'!F52,'Moteur ambitieux'!F52)</f>
        <v>-0</v>
      </c>
      <c r="E15" s="33" t="n">
        <f aca="false">-CHOOSE(scenario,'Moteur prudent'!G52,'Moteur central'!G52,'Moteur ambitieux'!G52)</f>
        <v>-0</v>
      </c>
      <c r="F15" s="33" t="n">
        <f aca="false">-CHOOSE(scenario,'Moteur prudent'!H52,'Moteur central'!H52,'Moteur ambitieux'!H52)</f>
        <v>-0</v>
      </c>
      <c r="G15" s="33" t="n">
        <f aca="false">-CHOOSE(scenario,'Moteur prudent'!I52,'Moteur central'!I52,'Moteur ambitieux'!I52)</f>
        <v>-0</v>
      </c>
      <c r="H15" s="33" t="n">
        <f aca="false">-CHOOSE(scenario,'Moteur prudent'!J52,'Moteur central'!J52,'Moteur ambitieux'!J52)</f>
        <v>-0</v>
      </c>
      <c r="I15" s="33" t="n">
        <f aca="false">-CHOOSE(scenario,'Moteur prudent'!K52,'Moteur central'!K52,'Moteur ambitieux'!K52)</f>
        <v>-0</v>
      </c>
      <c r="J15" s="33" t="n">
        <f aca="false">-CHOOSE(scenario,'Moteur prudent'!L52,'Moteur central'!L52,'Moteur ambitieux'!L52)</f>
        <v>-0</v>
      </c>
      <c r="K15" s="33" t="n">
        <f aca="false">-CHOOSE(scenario,'Moteur prudent'!M52,'Moteur central'!M52,'Moteur ambitieux'!M52)</f>
        <v>-0</v>
      </c>
      <c r="L15" s="33" t="n">
        <f aca="false">-CHOOSE(scenario,'Moteur prudent'!N52,'Moteur central'!N52,'Moteur ambitieux'!N52)</f>
        <v>-0</v>
      </c>
      <c r="M15" s="33" t="n">
        <f aca="false">-CHOOSE(scenario,'Moteur prudent'!O52,'Moteur central'!O52,'Moteur ambitieux'!O52)</f>
        <v>-0</v>
      </c>
      <c r="N15" s="33" t="n">
        <f aca="false">-CHOOSE(scenario,'Moteur prudent'!P52,'Moteur central'!P52,'Moteur ambitieux'!P52)</f>
        <v>-0</v>
      </c>
      <c r="O15" s="33" t="n">
        <f aca="false">-CHOOSE(scenario,'Moteur prudent'!Q52,'Moteur central'!Q52,'Moteur ambitieux'!Q52)</f>
        <v>-0</v>
      </c>
      <c r="P15" s="33" t="n">
        <f aca="false">-CHOOSE(scenario,'Moteur prudent'!R52,'Moteur central'!R52,'Moteur ambitieux'!R52)</f>
        <v>-0</v>
      </c>
      <c r="Q15" s="33" t="n">
        <f aca="false">-CHOOSE(scenario,'Moteur prudent'!S52,'Moteur central'!S52,'Moteur ambitieux'!S52)</f>
        <v>-0</v>
      </c>
      <c r="R15" s="33" t="n">
        <f aca="false">-CHOOSE(scenario,'Moteur prudent'!T52,'Moteur central'!T52,'Moteur ambitieux'!T52)</f>
        <v>-0</v>
      </c>
      <c r="S15" s="33" t="n">
        <f aca="false">-CHOOSE(scenario,'Moteur prudent'!U52,'Moteur central'!U52,'Moteur ambitieux'!U52)</f>
        <v>-0</v>
      </c>
      <c r="T15" s="33" t="n">
        <f aca="false">-CHOOSE(scenario,'Moteur prudent'!V52,'Moteur central'!V52,'Moteur ambitieux'!V52)</f>
        <v>-0</v>
      </c>
      <c r="U15" s="33" t="n">
        <f aca="false">-CHOOSE(scenario,'Moteur prudent'!W52,'Moteur central'!W52,'Moteur ambitieux'!W52)</f>
        <v>-0</v>
      </c>
      <c r="V15" s="33" t="n">
        <f aca="false">-CHOOSE(scenario,'Moteur prudent'!X52,'Moteur central'!X52,'Moteur ambitieux'!X52)</f>
        <v>-0</v>
      </c>
      <c r="W15" s="33" t="n">
        <f aca="false">-CHOOSE(scenario,'Moteur prudent'!Y52,'Moteur central'!Y52,'Moteur ambitieux'!Y52)</f>
        <v>-0</v>
      </c>
      <c r="X15" s="33" t="n">
        <f aca="false">-CHOOSE(scenario,'Moteur prudent'!Z52,'Moteur central'!Z52,'Moteur ambitieux'!Z52)</f>
        <v>-0</v>
      </c>
      <c r="Y15" s="33" t="n">
        <f aca="false">-CHOOSE(scenario,'Moteur prudent'!AA52,'Moteur central'!AA52,'Moteur ambitieux'!AA52)</f>
        <v>-0</v>
      </c>
      <c r="Z15" s="33" t="n">
        <f aca="false">-CHOOSE(scenario,'Moteur prudent'!AB52,'Moteur central'!AB52,'Moteur ambitieux'!AB52)</f>
        <v>-0</v>
      </c>
      <c r="AA15" s="33" t="n">
        <f aca="false">-CHOOSE(scenario,'Moteur prudent'!AC52,'Moteur central'!AC52,'Moteur ambitieux'!AC52)</f>
        <v>-0</v>
      </c>
      <c r="AB15" s="33" t="n">
        <f aca="false">-CHOOSE(scenario,'Moteur prudent'!AD52,'Moteur central'!AD52,'Moteur ambitieux'!AD52)</f>
        <v>-0</v>
      </c>
      <c r="AC15" s="33" t="n">
        <f aca="false">-CHOOSE(scenario,'Moteur prudent'!AE52,'Moteur central'!AE52,'Moteur ambitieux'!AE52)</f>
        <v>-0</v>
      </c>
      <c r="AD15" s="33" t="n">
        <f aca="false">-CHOOSE(scenario,'Moteur prudent'!AF52,'Moteur central'!AF52,'Moteur ambitieux'!AF52)</f>
        <v>-0</v>
      </c>
      <c r="AE15" s="33" t="n">
        <f aca="false">-CHOOSE(scenario,'Moteur prudent'!AG52,'Moteur central'!AG52,'Moteur ambitieux'!AG52)</f>
        <v>-0</v>
      </c>
      <c r="AF15" s="33" t="n">
        <f aca="false">-CHOOSE(scenario,'Moteur prudent'!AH52,'Moteur central'!AH52,'Moteur ambitieux'!AH52)</f>
        <v>-0</v>
      </c>
      <c r="AG15" s="33" t="n">
        <f aca="false">-CHOOSE(scenario,'Moteur prudent'!AI52,'Moteur central'!AI52,'Moteur ambitieux'!AI52)</f>
        <v>-0</v>
      </c>
      <c r="AH15" s="33" t="n">
        <f aca="false">-CHOOSE(scenario,'Moteur prudent'!AJ52,'Moteur central'!AJ52,'Moteur ambitieux'!AJ52)</f>
        <v>-0</v>
      </c>
      <c r="AI15" s="33" t="n">
        <f aca="false">-CHOOSE(scenario,'Moteur prudent'!AK52,'Moteur central'!AK52,'Moteur ambitieux'!AK52)</f>
        <v>-0</v>
      </c>
      <c r="AJ15" s="33" t="n">
        <f aca="false">-CHOOSE(scenario,'Moteur prudent'!AL52,'Moteur central'!AL52,'Moteur ambitieux'!AL52)</f>
        <v>-0</v>
      </c>
      <c r="AK15" s="33" t="n">
        <f aca="false">-CHOOSE(scenario,'Moteur prudent'!AM52,'Moteur central'!AM52,'Moteur ambitieux'!AM52)</f>
        <v>-0</v>
      </c>
      <c r="AM15" s="33" t="n">
        <f aca="false">-CHOOSE(scenario,'Moteur prudent'!AO52,'Moteur central'!AO52,'Moteur ambitieux'!AO52)</f>
        <v>-70000</v>
      </c>
      <c r="AN15" s="33" t="n">
        <f aca="false">-CHOOSE(scenario,'Moteur prudent'!AP52,'Moteur central'!AP52,'Moteur ambitieux'!AP52)</f>
        <v>-0</v>
      </c>
      <c r="AO15" s="33" t="n">
        <f aca="false">-CHOOSE(scenario,'Moteur prudent'!AQ52,'Moteur central'!AQ52,'Moteur ambitieux'!AQ52)</f>
        <v>-0</v>
      </c>
    </row>
    <row r="16" customFormat="false" ht="15" hidden="false" customHeight="false" outlineLevel="0" collapsed="false">
      <c r="A16" s="10" t="s">
        <v>293</v>
      </c>
      <c r="B16" s="33" t="n">
        <f aca="false">-CHOOSE(scenario,'Moteur prudent'!D55,'Moteur central'!D55,'Moteur ambitieux'!D55)</f>
        <v>-17600</v>
      </c>
      <c r="C16" s="33" t="n">
        <f aca="false">-CHOOSE(scenario,'Moteur prudent'!E55,'Moteur central'!E55,'Moteur ambitieux'!E55)</f>
        <v>-0</v>
      </c>
      <c r="D16" s="33" t="n">
        <f aca="false">-CHOOSE(scenario,'Moteur prudent'!F55,'Moteur central'!F55,'Moteur ambitieux'!F55)</f>
        <v>-0</v>
      </c>
      <c r="E16" s="33" t="n">
        <f aca="false">-CHOOSE(scenario,'Moteur prudent'!G55,'Moteur central'!G55,'Moteur ambitieux'!G55)</f>
        <v>-0</v>
      </c>
      <c r="F16" s="33" t="n">
        <f aca="false">-CHOOSE(scenario,'Moteur prudent'!H55,'Moteur central'!H55,'Moteur ambitieux'!H55)</f>
        <v>-0</v>
      </c>
      <c r="G16" s="33" t="n">
        <f aca="false">-CHOOSE(scenario,'Moteur prudent'!I55,'Moteur central'!I55,'Moteur ambitieux'!I55)</f>
        <v>-0</v>
      </c>
      <c r="H16" s="33" t="n">
        <f aca="false">-CHOOSE(scenario,'Moteur prudent'!J55,'Moteur central'!J55,'Moteur ambitieux'!J55)</f>
        <v>-0</v>
      </c>
      <c r="I16" s="33" t="n">
        <f aca="false">-CHOOSE(scenario,'Moteur prudent'!K55,'Moteur central'!K55,'Moteur ambitieux'!K55)</f>
        <v>-0</v>
      </c>
      <c r="J16" s="33" t="n">
        <f aca="false">-CHOOSE(scenario,'Moteur prudent'!L55,'Moteur central'!L55,'Moteur ambitieux'!L55)</f>
        <v>-1321.02480577488</v>
      </c>
      <c r="K16" s="33" t="n">
        <f aca="false">-CHOOSE(scenario,'Moteur prudent'!M55,'Moteur central'!M55,'Moteur ambitieux'!M55)</f>
        <v>-1701.00003550964</v>
      </c>
      <c r="L16" s="33" t="n">
        <f aca="false">-CHOOSE(scenario,'Moteur prudent'!N55,'Moteur central'!N55,'Moteur ambitieux'!N55)</f>
        <v>-1376.70189967578</v>
      </c>
      <c r="M16" s="33" t="n">
        <f aca="false">-CHOOSE(scenario,'Moteur prudent'!O55,'Moteur central'!O55,'Moteur ambitieux'!O55)</f>
        <v>-2432.66211950985</v>
      </c>
      <c r="N16" s="33" t="n">
        <f aca="false">-CHOOSE(scenario,'Moteur prudent'!P55,'Moteur central'!P55,'Moteur ambitieux'!P55)</f>
        <v>-1234.56654675772</v>
      </c>
      <c r="O16" s="33" t="n">
        <f aca="false">-CHOOSE(scenario,'Moteur prudent'!Q55,'Moteur central'!Q55,'Moteur ambitieux'!Q55)</f>
        <v>-3983.85380178675</v>
      </c>
      <c r="P16" s="33" t="n">
        <f aca="false">-CHOOSE(scenario,'Moteur prudent'!R55,'Moteur central'!R55,'Moteur ambitieux'!R55)</f>
        <v>-5729.44147944896</v>
      </c>
      <c r="Q16" s="33" t="n">
        <f aca="false">-CHOOSE(scenario,'Moteur prudent'!S55,'Moteur central'!S55,'Moteur ambitieux'!S55)</f>
        <v>-4892.71681689363</v>
      </c>
      <c r="R16" s="33" t="n">
        <f aca="false">-CHOOSE(scenario,'Moteur prudent'!T55,'Moteur central'!T55,'Moteur ambitieux'!T55)</f>
        <v>-5445.42700187908</v>
      </c>
      <c r="S16" s="33" t="n">
        <f aca="false">-CHOOSE(scenario,'Moteur prudent'!U55,'Moteur central'!U55,'Moteur ambitieux'!U55)</f>
        <v>-5635.67405307329</v>
      </c>
      <c r="T16" s="33" t="n">
        <f aca="false">-CHOOSE(scenario,'Moteur prudent'!V55,'Moteur central'!V55,'Moteur ambitieux'!V55)</f>
        <v>-2705.23228890897</v>
      </c>
      <c r="U16" s="33" t="n">
        <f aca="false">-CHOOSE(scenario,'Moteur prudent'!W55,'Moteur central'!W55,'Moteur ambitieux'!W55)</f>
        <v>-0</v>
      </c>
      <c r="V16" s="33" t="n">
        <f aca="false">-CHOOSE(scenario,'Moteur prudent'!X55,'Moteur central'!X55,'Moteur ambitieux'!X55)</f>
        <v>-8141.92568028794</v>
      </c>
      <c r="W16" s="33" t="n">
        <f aca="false">-CHOOSE(scenario,'Moteur prudent'!Y55,'Moteur central'!Y55,'Moteur ambitieux'!Y55)</f>
        <v>-2727.61033393778</v>
      </c>
      <c r="X16" s="33" t="n">
        <f aca="false">-CHOOSE(scenario,'Moteur prudent'!Z55,'Moteur central'!Z55,'Moteur ambitieux'!Z55)</f>
        <v>-1856.43650979858</v>
      </c>
      <c r="Y16" s="33" t="n">
        <f aca="false">-CHOOSE(scenario,'Moteur prudent'!AA55,'Moteur central'!AA55,'Moteur ambitieux'!AA55)</f>
        <v>-5136.41979292751</v>
      </c>
      <c r="Z16" s="33" t="n">
        <f aca="false">-CHOOSE(scenario,'Moteur prudent'!AB55,'Moteur central'!AB55,'Moteur ambitieux'!AB55)</f>
        <v>-0</v>
      </c>
      <c r="AA16" s="33" t="n">
        <f aca="false">-CHOOSE(scenario,'Moteur prudent'!AC55,'Moteur central'!AC55,'Moteur ambitieux'!AC55)</f>
        <v>-3969.8003536906</v>
      </c>
      <c r="AB16" s="33" t="n">
        <f aca="false">-CHOOSE(scenario,'Moteur prudent'!AD55,'Moteur central'!AD55,'Moteur ambitieux'!AD55)</f>
        <v>-9111.78901263754</v>
      </c>
      <c r="AC16" s="33" t="n">
        <f aca="false">-CHOOSE(scenario,'Moteur prudent'!AE55,'Moteur central'!AE55,'Moteur ambitieux'!AE55)</f>
        <v>-6793.31802869376</v>
      </c>
      <c r="AD16" s="33" t="n">
        <f aca="false">-CHOOSE(scenario,'Moteur prudent'!AF55,'Moteur central'!AF55,'Moteur ambitieux'!AF55)</f>
        <v>-7897.59626152989</v>
      </c>
      <c r="AE16" s="33" t="n">
        <f aca="false">-CHOOSE(scenario,'Moteur prudent'!AG55,'Moteur central'!AG55,'Moteur ambitieux'!AG55)</f>
        <v>-8127.90233342507</v>
      </c>
      <c r="AF16" s="33" t="n">
        <f aca="false">-CHOOSE(scenario,'Moteur prudent'!AH55,'Moteur central'!AH55,'Moteur ambitieux'!AH55)</f>
        <v>-1969.29162364004</v>
      </c>
      <c r="AG16" s="33" t="n">
        <f aca="false">-CHOOSE(scenario,'Moteur prudent'!AI55,'Moteur central'!AI55,'Moteur ambitieux'!AI55)</f>
        <v>-0</v>
      </c>
      <c r="AH16" s="33" t="n">
        <f aca="false">-CHOOSE(scenario,'Moteur prudent'!AJ55,'Moteur central'!AJ55,'Moteur ambitieux'!AJ55)</f>
        <v>-9856.31529802539</v>
      </c>
      <c r="AI16" s="33" t="n">
        <f aca="false">-CHOOSE(scenario,'Moteur prudent'!AK55,'Moteur central'!AK55,'Moteur ambitieux'!AK55)</f>
        <v>-2431.56930410752</v>
      </c>
      <c r="AJ16" s="33" t="n">
        <f aca="false">-CHOOSE(scenario,'Moteur prudent'!AL55,'Moteur central'!AL55,'Moteur ambitieux'!AL55)</f>
        <v>-941.770721207882</v>
      </c>
      <c r="AK16" s="33" t="n">
        <f aca="false">-CHOOSE(scenario,'Moteur prudent'!AM55,'Moteur central'!AM55,'Moteur ambitieux'!AM55)</f>
        <v>-7088.33587400181</v>
      </c>
      <c r="AM16" s="33" t="n">
        <f aca="false">-CHOOSE(scenario,'Moteur prudent'!AO55,'Moteur central'!AO55,'Moteur ambitieux'!AO55)</f>
        <v>-24431.3888604702</v>
      </c>
      <c r="AN16" s="33" t="n">
        <f aca="false">-CHOOSE(scenario,'Moteur prudent'!AP55,'Moteur central'!AP55,'Moteur ambitieux'!AP55)</f>
        <v>-47489.3043057002</v>
      </c>
      <c r="AO16" s="33" t="n">
        <f aca="false">-CHOOSE(scenario,'Moteur prudent'!AQ55,'Moteur central'!AQ55,'Moteur ambitieux'!AQ55)</f>
        <v>-58187.6888109595</v>
      </c>
    </row>
    <row r="17" customFormat="false" ht="15" hidden="false" customHeight="false" outlineLevel="0" collapsed="false">
      <c r="A17" s="11" t="s">
        <v>294</v>
      </c>
      <c r="B17" s="32" t="n">
        <f aca="false">CHOOSE(scenario,'Moteur prudent'!D83,'Moteur central'!D83,'Moteur ambitieux'!D83)</f>
        <v>-237600</v>
      </c>
      <c r="C17" s="32" t="n">
        <f aca="false">CHOOSE(scenario,'Moteur prudent'!E83,'Moteur central'!E83,'Moteur ambitieux'!E83)</f>
        <v>-0</v>
      </c>
      <c r="D17" s="32" t="n">
        <f aca="false">CHOOSE(scenario,'Moteur prudent'!F83,'Moteur central'!F83,'Moteur ambitieux'!F83)</f>
        <v>-0</v>
      </c>
      <c r="E17" s="32" t="n">
        <f aca="false">CHOOSE(scenario,'Moteur prudent'!G83,'Moteur central'!G83,'Moteur ambitieux'!G83)</f>
        <v>-0</v>
      </c>
      <c r="F17" s="32" t="n">
        <f aca="false">CHOOSE(scenario,'Moteur prudent'!H83,'Moteur central'!H83,'Moteur ambitieux'!H83)</f>
        <v>-0</v>
      </c>
      <c r="G17" s="32" t="n">
        <f aca="false">CHOOSE(scenario,'Moteur prudent'!I83,'Moteur central'!I83,'Moteur ambitieux'!I83)</f>
        <v>-0</v>
      </c>
      <c r="H17" s="32" t="n">
        <f aca="false">CHOOSE(scenario,'Moteur prudent'!J83,'Moteur central'!J83,'Moteur ambitieux'!J83)</f>
        <v>-0</v>
      </c>
      <c r="I17" s="32" t="n">
        <f aca="false">CHOOSE(scenario,'Moteur prudent'!K83,'Moteur central'!K83,'Moteur ambitieux'!K83)</f>
        <v>-0</v>
      </c>
      <c r="J17" s="32" t="n">
        <f aca="false">CHOOSE(scenario,'Moteur prudent'!L83,'Moteur central'!L83,'Moteur ambitieux'!L83)</f>
        <v>-1321.02480577488</v>
      </c>
      <c r="K17" s="32" t="n">
        <f aca="false">CHOOSE(scenario,'Moteur prudent'!M83,'Moteur central'!M83,'Moteur ambitieux'!M83)</f>
        <v>-1701.00003550964</v>
      </c>
      <c r="L17" s="32" t="n">
        <f aca="false">CHOOSE(scenario,'Moteur prudent'!N83,'Moteur central'!N83,'Moteur ambitieux'!N83)</f>
        <v>-1376.70189967578</v>
      </c>
      <c r="M17" s="32" t="n">
        <f aca="false">CHOOSE(scenario,'Moteur prudent'!O83,'Moteur central'!O83,'Moteur ambitieux'!O83)</f>
        <v>-2432.66211950985</v>
      </c>
      <c r="N17" s="32" t="n">
        <f aca="false">CHOOSE(scenario,'Moteur prudent'!P83,'Moteur central'!P83,'Moteur ambitieux'!P83)</f>
        <v>-1234.56654675772</v>
      </c>
      <c r="O17" s="32" t="n">
        <f aca="false">CHOOSE(scenario,'Moteur prudent'!Q83,'Moteur central'!Q83,'Moteur ambitieux'!Q83)</f>
        <v>-3983.85380178675</v>
      </c>
      <c r="P17" s="32" t="n">
        <f aca="false">CHOOSE(scenario,'Moteur prudent'!R83,'Moteur central'!R83,'Moteur ambitieux'!R83)</f>
        <v>-5729.44147944896</v>
      </c>
      <c r="Q17" s="32" t="n">
        <f aca="false">CHOOSE(scenario,'Moteur prudent'!S83,'Moteur central'!S83,'Moteur ambitieux'!S83)</f>
        <v>-4892.71681689363</v>
      </c>
      <c r="R17" s="32" t="n">
        <f aca="false">CHOOSE(scenario,'Moteur prudent'!T83,'Moteur central'!T83,'Moteur ambitieux'!T83)</f>
        <v>-5445.42700187908</v>
      </c>
      <c r="S17" s="32" t="n">
        <f aca="false">CHOOSE(scenario,'Moteur prudent'!U83,'Moteur central'!U83,'Moteur ambitieux'!U83)</f>
        <v>-5635.67405307329</v>
      </c>
      <c r="T17" s="32" t="n">
        <f aca="false">CHOOSE(scenario,'Moteur prudent'!V83,'Moteur central'!V83,'Moteur ambitieux'!V83)</f>
        <v>-2705.23228890897</v>
      </c>
      <c r="U17" s="32" t="n">
        <f aca="false">CHOOSE(scenario,'Moteur prudent'!W83,'Moteur central'!W83,'Moteur ambitieux'!W83)</f>
        <v>-0</v>
      </c>
      <c r="V17" s="32" t="n">
        <f aca="false">CHOOSE(scenario,'Moteur prudent'!X83,'Moteur central'!X83,'Moteur ambitieux'!X83)</f>
        <v>-8141.92568028794</v>
      </c>
      <c r="W17" s="32" t="n">
        <f aca="false">CHOOSE(scenario,'Moteur prudent'!Y83,'Moteur central'!Y83,'Moteur ambitieux'!Y83)</f>
        <v>-2727.61033393778</v>
      </c>
      <c r="X17" s="32" t="n">
        <f aca="false">CHOOSE(scenario,'Moteur prudent'!Z83,'Moteur central'!Z83,'Moteur ambitieux'!Z83)</f>
        <v>-1856.43650979858</v>
      </c>
      <c r="Y17" s="32" t="n">
        <f aca="false">CHOOSE(scenario,'Moteur prudent'!AA83,'Moteur central'!AA83,'Moteur ambitieux'!AA83)</f>
        <v>-155136.419792928</v>
      </c>
      <c r="Z17" s="32" t="n">
        <f aca="false">CHOOSE(scenario,'Moteur prudent'!AB83,'Moteur central'!AB83,'Moteur ambitieux'!AB83)</f>
        <v>-0</v>
      </c>
      <c r="AA17" s="32" t="n">
        <f aca="false">CHOOSE(scenario,'Moteur prudent'!AC83,'Moteur central'!AC83,'Moteur ambitieux'!AC83)</f>
        <v>-3969.8003536906</v>
      </c>
      <c r="AB17" s="32" t="n">
        <f aca="false">CHOOSE(scenario,'Moteur prudent'!AD83,'Moteur central'!AD83,'Moteur ambitieux'!AD83)</f>
        <v>-9111.78901263754</v>
      </c>
      <c r="AC17" s="32" t="n">
        <f aca="false">CHOOSE(scenario,'Moteur prudent'!AE83,'Moteur central'!AE83,'Moteur ambitieux'!AE83)</f>
        <v>-6793.31802869376</v>
      </c>
      <c r="AD17" s="32" t="n">
        <f aca="false">CHOOSE(scenario,'Moteur prudent'!AF83,'Moteur central'!AF83,'Moteur ambitieux'!AF83)</f>
        <v>-7897.59626152989</v>
      </c>
      <c r="AE17" s="32" t="n">
        <f aca="false">CHOOSE(scenario,'Moteur prudent'!AG83,'Moteur central'!AG83,'Moteur ambitieux'!AG83)</f>
        <v>-8127.90233342507</v>
      </c>
      <c r="AF17" s="32" t="n">
        <f aca="false">CHOOSE(scenario,'Moteur prudent'!AH83,'Moteur central'!AH83,'Moteur ambitieux'!AH83)</f>
        <v>-1969.29162364004</v>
      </c>
      <c r="AG17" s="32" t="n">
        <f aca="false">CHOOSE(scenario,'Moteur prudent'!AI83,'Moteur central'!AI83,'Moteur ambitieux'!AI83)</f>
        <v>-0</v>
      </c>
      <c r="AH17" s="32" t="n">
        <f aca="false">CHOOSE(scenario,'Moteur prudent'!AJ83,'Moteur central'!AJ83,'Moteur ambitieux'!AJ83)</f>
        <v>-9856.31529802539</v>
      </c>
      <c r="AI17" s="32" t="n">
        <f aca="false">CHOOSE(scenario,'Moteur prudent'!AK83,'Moteur central'!AK83,'Moteur ambitieux'!AK83)</f>
        <v>-2431.56930410752</v>
      </c>
      <c r="AJ17" s="32" t="n">
        <f aca="false">CHOOSE(scenario,'Moteur prudent'!AL83,'Moteur central'!AL83,'Moteur ambitieux'!AL83)</f>
        <v>-941.770721207882</v>
      </c>
      <c r="AK17" s="32" t="n">
        <f aca="false">CHOOSE(scenario,'Moteur prudent'!AM83,'Moteur central'!AM83,'Moteur ambitieux'!AM83)</f>
        <v>-7088.33587400181</v>
      </c>
      <c r="AM17" s="32" t="n">
        <f aca="false">CHOOSE(scenario,'Moteur prudent'!AO83,'Moteur central'!AO83,'Moteur ambitieux'!AO83)</f>
        <v>-244431.38886047</v>
      </c>
      <c r="AN17" s="32" t="n">
        <f aca="false">CHOOSE(scenario,'Moteur prudent'!AP83,'Moteur central'!AP83,'Moteur ambitieux'!AP83)</f>
        <v>-197489.3043057</v>
      </c>
      <c r="AO17" s="32" t="n">
        <f aca="false">CHOOSE(scenario,'Moteur prudent'!AQ83,'Moteur central'!AQ83,'Moteur ambitieux'!AQ83)</f>
        <v>-58187.6888109595</v>
      </c>
    </row>
    <row r="18" customFormat="false" ht="15" hidden="false" customHeight="false" outlineLevel="0" collapsed="false">
      <c r="A18" s="5" t="s">
        <v>234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M18" s="42"/>
      <c r="AN18" s="42"/>
      <c r="AO18" s="42"/>
    </row>
    <row r="19" customFormat="false" ht="15" hidden="false" customHeight="false" outlineLevel="0" collapsed="false">
      <c r="A19" s="10" t="s">
        <v>295</v>
      </c>
      <c r="B19" s="33" t="n">
        <f aca="false">CHOOSE(scenario,'Moteur prudent'!D84,'Moteur central'!D84,'Moteur ambitieux'!D84)</f>
        <v>800000</v>
      </c>
      <c r="C19" s="33" t="n">
        <f aca="false">CHOOSE(scenario,'Moteur prudent'!E84,'Moteur central'!E84,'Moteur ambitieux'!E84)</f>
        <v>0</v>
      </c>
      <c r="D19" s="33" t="n">
        <f aca="false">CHOOSE(scenario,'Moteur prudent'!F84,'Moteur central'!F84,'Moteur ambitieux'!F84)</f>
        <v>0</v>
      </c>
      <c r="E19" s="33" t="n">
        <f aca="false">CHOOSE(scenario,'Moteur prudent'!G84,'Moteur central'!G84,'Moteur ambitieux'!G84)</f>
        <v>0</v>
      </c>
      <c r="F19" s="33" t="n">
        <f aca="false">CHOOSE(scenario,'Moteur prudent'!H84,'Moteur central'!H84,'Moteur ambitieux'!H84)</f>
        <v>0</v>
      </c>
      <c r="G19" s="33" t="n">
        <f aca="false">CHOOSE(scenario,'Moteur prudent'!I84,'Moteur central'!I84,'Moteur ambitieux'!I84)</f>
        <v>0</v>
      </c>
      <c r="H19" s="33" t="n">
        <f aca="false">CHOOSE(scenario,'Moteur prudent'!J84,'Moteur central'!J84,'Moteur ambitieux'!J84)</f>
        <v>0</v>
      </c>
      <c r="I19" s="33" t="n">
        <f aca="false">CHOOSE(scenario,'Moteur prudent'!K84,'Moteur central'!K84,'Moteur ambitieux'!K84)</f>
        <v>0</v>
      </c>
      <c r="J19" s="33" t="n">
        <f aca="false">CHOOSE(scenario,'Moteur prudent'!L84,'Moteur central'!L84,'Moteur ambitieux'!L84)</f>
        <v>0</v>
      </c>
      <c r="K19" s="33" t="n">
        <f aca="false">CHOOSE(scenario,'Moteur prudent'!M84,'Moteur central'!M84,'Moteur ambitieux'!M84)</f>
        <v>0</v>
      </c>
      <c r="L19" s="33" t="n">
        <f aca="false">CHOOSE(scenario,'Moteur prudent'!N84,'Moteur central'!N84,'Moteur ambitieux'!N84)</f>
        <v>0</v>
      </c>
      <c r="M19" s="33" t="n">
        <f aca="false">CHOOSE(scenario,'Moteur prudent'!O84,'Moteur central'!O84,'Moteur ambitieux'!O84)</f>
        <v>0</v>
      </c>
      <c r="N19" s="33" t="n">
        <f aca="false">CHOOSE(scenario,'Moteur prudent'!P84,'Moteur central'!P84,'Moteur ambitieux'!P84)</f>
        <v>0</v>
      </c>
      <c r="O19" s="33" t="n">
        <f aca="false">CHOOSE(scenario,'Moteur prudent'!Q84,'Moteur central'!Q84,'Moteur ambitieux'!Q84)</f>
        <v>0</v>
      </c>
      <c r="P19" s="33" t="n">
        <f aca="false">CHOOSE(scenario,'Moteur prudent'!R84,'Moteur central'!R84,'Moteur ambitieux'!R84)</f>
        <v>0</v>
      </c>
      <c r="Q19" s="33" t="n">
        <f aca="false">CHOOSE(scenario,'Moteur prudent'!S84,'Moteur central'!S84,'Moteur ambitieux'!S84)</f>
        <v>0</v>
      </c>
      <c r="R19" s="33" t="n">
        <f aca="false">CHOOSE(scenario,'Moteur prudent'!T84,'Moteur central'!T84,'Moteur ambitieux'!T84)</f>
        <v>0</v>
      </c>
      <c r="S19" s="33" t="n">
        <f aca="false">CHOOSE(scenario,'Moteur prudent'!U84,'Moteur central'!U84,'Moteur ambitieux'!U84)</f>
        <v>0</v>
      </c>
      <c r="T19" s="33" t="n">
        <f aca="false">CHOOSE(scenario,'Moteur prudent'!V84,'Moteur central'!V84,'Moteur ambitieux'!V84)</f>
        <v>0</v>
      </c>
      <c r="U19" s="33" t="n">
        <f aca="false">CHOOSE(scenario,'Moteur prudent'!W84,'Moteur central'!W84,'Moteur ambitieux'!W84)</f>
        <v>0</v>
      </c>
      <c r="V19" s="33" t="n">
        <f aca="false">CHOOSE(scenario,'Moteur prudent'!X84,'Moteur central'!X84,'Moteur ambitieux'!X84)</f>
        <v>0</v>
      </c>
      <c r="W19" s="33" t="n">
        <f aca="false">CHOOSE(scenario,'Moteur prudent'!Y84,'Moteur central'!Y84,'Moteur ambitieux'!Y84)</f>
        <v>0</v>
      </c>
      <c r="X19" s="33" t="n">
        <f aca="false">CHOOSE(scenario,'Moteur prudent'!Z84,'Moteur central'!Z84,'Moteur ambitieux'!Z84)</f>
        <v>0</v>
      </c>
      <c r="Y19" s="33" t="n">
        <f aca="false">CHOOSE(scenario,'Moteur prudent'!AA84,'Moteur central'!AA84,'Moteur ambitieux'!AA84)</f>
        <v>0</v>
      </c>
      <c r="Z19" s="33" t="n">
        <f aca="false">CHOOSE(scenario,'Moteur prudent'!AB84,'Moteur central'!AB84,'Moteur ambitieux'!AB84)</f>
        <v>0</v>
      </c>
      <c r="AA19" s="33" t="n">
        <f aca="false">CHOOSE(scenario,'Moteur prudent'!AC84,'Moteur central'!AC84,'Moteur ambitieux'!AC84)</f>
        <v>0</v>
      </c>
      <c r="AB19" s="33" t="n">
        <f aca="false">CHOOSE(scenario,'Moteur prudent'!AD84,'Moteur central'!AD84,'Moteur ambitieux'!AD84)</f>
        <v>0</v>
      </c>
      <c r="AC19" s="33" t="n">
        <f aca="false">CHOOSE(scenario,'Moteur prudent'!AE84,'Moteur central'!AE84,'Moteur ambitieux'!AE84)</f>
        <v>0</v>
      </c>
      <c r="AD19" s="33" t="n">
        <f aca="false">CHOOSE(scenario,'Moteur prudent'!AF84,'Moteur central'!AF84,'Moteur ambitieux'!AF84)</f>
        <v>0</v>
      </c>
      <c r="AE19" s="33" t="n">
        <f aca="false">CHOOSE(scenario,'Moteur prudent'!AG84,'Moteur central'!AG84,'Moteur ambitieux'!AG84)</f>
        <v>0</v>
      </c>
      <c r="AF19" s="33" t="n">
        <f aca="false">CHOOSE(scenario,'Moteur prudent'!AH84,'Moteur central'!AH84,'Moteur ambitieux'!AH84)</f>
        <v>0</v>
      </c>
      <c r="AG19" s="33" t="n">
        <f aca="false">CHOOSE(scenario,'Moteur prudent'!AI84,'Moteur central'!AI84,'Moteur ambitieux'!AI84)</f>
        <v>0</v>
      </c>
      <c r="AH19" s="33" t="n">
        <f aca="false">CHOOSE(scenario,'Moteur prudent'!AJ84,'Moteur central'!AJ84,'Moteur ambitieux'!AJ84)</f>
        <v>0</v>
      </c>
      <c r="AI19" s="33" t="n">
        <f aca="false">CHOOSE(scenario,'Moteur prudent'!AK84,'Moteur central'!AK84,'Moteur ambitieux'!AK84)</f>
        <v>0</v>
      </c>
      <c r="AJ19" s="33" t="n">
        <f aca="false">CHOOSE(scenario,'Moteur prudent'!AL84,'Moteur central'!AL84,'Moteur ambitieux'!AL84)</f>
        <v>0</v>
      </c>
      <c r="AK19" s="33" t="n">
        <f aca="false">CHOOSE(scenario,'Moteur prudent'!AM84,'Moteur central'!AM84,'Moteur ambitieux'!AM84)</f>
        <v>0</v>
      </c>
      <c r="AM19" s="33" t="n">
        <f aca="false">CHOOSE(scenario,'Moteur prudent'!AO84,'Moteur central'!AO84,'Moteur ambitieux'!AO84)</f>
        <v>800000</v>
      </c>
      <c r="AN19" s="33" t="n">
        <f aca="false">CHOOSE(scenario,'Moteur prudent'!AP84,'Moteur central'!AP84,'Moteur ambitieux'!AP84)</f>
        <v>0</v>
      </c>
      <c r="AO19" s="33" t="n">
        <f aca="false">CHOOSE(scenario,'Moteur prudent'!AQ84,'Moteur central'!AQ84,'Moteur ambitieux'!AQ84)</f>
        <v>0</v>
      </c>
    </row>
    <row r="20" customFormat="false" ht="15" hidden="false" customHeight="false" outlineLevel="0" collapsed="false">
      <c r="A20" s="10" t="s">
        <v>296</v>
      </c>
      <c r="B20" s="33" t="n">
        <f aca="false">CHOOSE(scenario,'Moteur prudent'!D85,'Moteur central'!D85,'Moteur ambitieux'!D85)</f>
        <v>0</v>
      </c>
      <c r="C20" s="33" t="n">
        <f aca="false">CHOOSE(scenario,'Moteur prudent'!E85,'Moteur central'!E85,'Moteur ambitieux'!E85)</f>
        <v>0</v>
      </c>
      <c r="D20" s="33" t="n">
        <f aca="false">CHOOSE(scenario,'Moteur prudent'!F85,'Moteur central'!F85,'Moteur ambitieux'!F85)</f>
        <v>0</v>
      </c>
      <c r="E20" s="33" t="n">
        <f aca="false">CHOOSE(scenario,'Moteur prudent'!G85,'Moteur central'!G85,'Moteur ambitieux'!G85)</f>
        <v>0</v>
      </c>
      <c r="F20" s="33" t="n">
        <f aca="false">CHOOSE(scenario,'Moteur prudent'!H85,'Moteur central'!H85,'Moteur ambitieux'!H85)</f>
        <v>0</v>
      </c>
      <c r="G20" s="33" t="n">
        <f aca="false">CHOOSE(scenario,'Moteur prudent'!I85,'Moteur central'!I85,'Moteur ambitieux'!I85)</f>
        <v>0</v>
      </c>
      <c r="H20" s="33" t="n">
        <f aca="false">CHOOSE(scenario,'Moteur prudent'!J85,'Moteur central'!J85,'Moteur ambitieux'!J85)</f>
        <v>0</v>
      </c>
      <c r="I20" s="33" t="n">
        <f aca="false">CHOOSE(scenario,'Moteur prudent'!K85,'Moteur central'!K85,'Moteur ambitieux'!K85)</f>
        <v>0</v>
      </c>
      <c r="J20" s="33" t="n">
        <f aca="false">CHOOSE(scenario,'Moteur prudent'!L85,'Moteur central'!L85,'Moteur ambitieux'!L85)</f>
        <v>0</v>
      </c>
      <c r="K20" s="33" t="n">
        <f aca="false">CHOOSE(scenario,'Moteur prudent'!M85,'Moteur central'!M85,'Moteur ambitieux'!M85)</f>
        <v>0</v>
      </c>
      <c r="L20" s="33" t="n">
        <f aca="false">CHOOSE(scenario,'Moteur prudent'!N85,'Moteur central'!N85,'Moteur ambitieux'!N85)</f>
        <v>0</v>
      </c>
      <c r="M20" s="33" t="n">
        <f aca="false">CHOOSE(scenario,'Moteur prudent'!O85,'Moteur central'!O85,'Moteur ambitieux'!O85)</f>
        <v>0</v>
      </c>
      <c r="N20" s="33" t="n">
        <f aca="false">CHOOSE(scenario,'Moteur prudent'!P85,'Moteur central'!P85,'Moteur ambitieux'!P85)</f>
        <v>0</v>
      </c>
      <c r="O20" s="33" t="n">
        <f aca="false">CHOOSE(scenario,'Moteur prudent'!Q85,'Moteur central'!Q85,'Moteur ambitieux'!Q85)</f>
        <v>0</v>
      </c>
      <c r="P20" s="33" t="n">
        <f aca="false">CHOOSE(scenario,'Moteur prudent'!R85,'Moteur central'!R85,'Moteur ambitieux'!R85)</f>
        <v>0</v>
      </c>
      <c r="Q20" s="33" t="n">
        <f aca="false">CHOOSE(scenario,'Moteur prudent'!S85,'Moteur central'!S85,'Moteur ambitieux'!S85)</f>
        <v>0</v>
      </c>
      <c r="R20" s="33" t="n">
        <f aca="false">CHOOSE(scenario,'Moteur prudent'!T85,'Moteur central'!T85,'Moteur ambitieux'!T85)</f>
        <v>0</v>
      </c>
      <c r="S20" s="33" t="n">
        <f aca="false">CHOOSE(scenario,'Moteur prudent'!U85,'Moteur central'!U85,'Moteur ambitieux'!U85)</f>
        <v>0</v>
      </c>
      <c r="T20" s="33" t="n">
        <f aca="false">CHOOSE(scenario,'Moteur prudent'!V85,'Moteur central'!V85,'Moteur ambitieux'!V85)</f>
        <v>0</v>
      </c>
      <c r="U20" s="33" t="n">
        <f aca="false">CHOOSE(scenario,'Moteur prudent'!W85,'Moteur central'!W85,'Moteur ambitieux'!W85)</f>
        <v>0</v>
      </c>
      <c r="V20" s="33" t="n">
        <f aca="false">CHOOSE(scenario,'Moteur prudent'!X85,'Moteur central'!X85,'Moteur ambitieux'!X85)</f>
        <v>0</v>
      </c>
      <c r="W20" s="33" t="n">
        <f aca="false">CHOOSE(scenario,'Moteur prudent'!Y85,'Moteur central'!Y85,'Moteur ambitieux'!Y85)</f>
        <v>0</v>
      </c>
      <c r="X20" s="33" t="n">
        <f aca="false">CHOOSE(scenario,'Moteur prudent'!Z85,'Moteur central'!Z85,'Moteur ambitieux'!Z85)</f>
        <v>0</v>
      </c>
      <c r="Y20" s="33" t="n">
        <f aca="false">CHOOSE(scenario,'Moteur prudent'!AA85,'Moteur central'!AA85,'Moteur ambitieux'!AA85)</f>
        <v>0</v>
      </c>
      <c r="Z20" s="33" t="n">
        <f aca="false">CHOOSE(scenario,'Moteur prudent'!AB85,'Moteur central'!AB85,'Moteur ambitieux'!AB85)</f>
        <v>0</v>
      </c>
      <c r="AA20" s="33" t="n">
        <f aca="false">CHOOSE(scenario,'Moteur prudent'!AC85,'Moteur central'!AC85,'Moteur ambitieux'!AC85)</f>
        <v>0</v>
      </c>
      <c r="AB20" s="33" t="n">
        <f aca="false">CHOOSE(scenario,'Moteur prudent'!AD85,'Moteur central'!AD85,'Moteur ambitieux'!AD85)</f>
        <v>0</v>
      </c>
      <c r="AC20" s="33" t="n">
        <f aca="false">CHOOSE(scenario,'Moteur prudent'!AE85,'Moteur central'!AE85,'Moteur ambitieux'!AE85)</f>
        <v>0</v>
      </c>
      <c r="AD20" s="33" t="n">
        <f aca="false">CHOOSE(scenario,'Moteur prudent'!AF85,'Moteur central'!AF85,'Moteur ambitieux'!AF85)</f>
        <v>0</v>
      </c>
      <c r="AE20" s="33" t="n">
        <f aca="false">CHOOSE(scenario,'Moteur prudent'!AG85,'Moteur central'!AG85,'Moteur ambitieux'!AG85)</f>
        <v>0</v>
      </c>
      <c r="AF20" s="33" t="n">
        <f aca="false">CHOOSE(scenario,'Moteur prudent'!AH85,'Moteur central'!AH85,'Moteur ambitieux'!AH85)</f>
        <v>0</v>
      </c>
      <c r="AG20" s="33" t="n">
        <f aca="false">CHOOSE(scenario,'Moteur prudent'!AI85,'Moteur central'!AI85,'Moteur ambitieux'!AI85)</f>
        <v>0</v>
      </c>
      <c r="AH20" s="33" t="n">
        <f aca="false">CHOOSE(scenario,'Moteur prudent'!AJ85,'Moteur central'!AJ85,'Moteur ambitieux'!AJ85)</f>
        <v>0</v>
      </c>
      <c r="AI20" s="33" t="n">
        <f aca="false">CHOOSE(scenario,'Moteur prudent'!AK85,'Moteur central'!AK85,'Moteur ambitieux'!AK85)</f>
        <v>0</v>
      </c>
      <c r="AJ20" s="33" t="n">
        <f aca="false">CHOOSE(scenario,'Moteur prudent'!AL85,'Moteur central'!AL85,'Moteur ambitieux'!AL85)</f>
        <v>0</v>
      </c>
      <c r="AK20" s="33" t="n">
        <f aca="false">CHOOSE(scenario,'Moteur prudent'!AM85,'Moteur central'!AM85,'Moteur ambitieux'!AM85)</f>
        <v>0</v>
      </c>
      <c r="AM20" s="33" t="n">
        <f aca="false">CHOOSE(scenario,'Moteur prudent'!AO85,'Moteur central'!AO85,'Moteur ambitieux'!AO85)</f>
        <v>0</v>
      </c>
      <c r="AN20" s="33" t="n">
        <f aca="false">CHOOSE(scenario,'Moteur prudent'!AP85,'Moteur central'!AP85,'Moteur ambitieux'!AP85)</f>
        <v>0</v>
      </c>
      <c r="AO20" s="33" t="n">
        <f aca="false">CHOOSE(scenario,'Moteur prudent'!AQ85,'Moteur central'!AQ85,'Moteur ambitieux'!AQ85)</f>
        <v>0</v>
      </c>
    </row>
    <row r="21" customFormat="false" ht="15" hidden="false" customHeight="false" outlineLevel="0" collapsed="false">
      <c r="A21" s="10" t="s">
        <v>297</v>
      </c>
      <c r="B21" s="33" t="n">
        <f aca="false">CHOOSE(scenario,'Moteur prudent'!D69,'Moteur central'!D69,'Moteur ambitieux'!D69)</f>
        <v>220000</v>
      </c>
      <c r="C21" s="33" t="n">
        <f aca="false">CHOOSE(scenario,'Moteur prudent'!E69,'Moteur central'!E69,'Moteur ambitieux'!E69)</f>
        <v>0</v>
      </c>
      <c r="D21" s="33" t="n">
        <f aca="false">CHOOSE(scenario,'Moteur prudent'!F69,'Moteur central'!F69,'Moteur ambitieux'!F69)</f>
        <v>0</v>
      </c>
      <c r="E21" s="33" t="n">
        <f aca="false">CHOOSE(scenario,'Moteur prudent'!G69,'Moteur central'!G69,'Moteur ambitieux'!G69)</f>
        <v>0</v>
      </c>
      <c r="F21" s="33" t="n">
        <f aca="false">CHOOSE(scenario,'Moteur prudent'!H69,'Moteur central'!H69,'Moteur ambitieux'!H69)</f>
        <v>0</v>
      </c>
      <c r="G21" s="33" t="n">
        <f aca="false">CHOOSE(scenario,'Moteur prudent'!I69,'Moteur central'!I69,'Moteur ambitieux'!I69)</f>
        <v>0</v>
      </c>
      <c r="H21" s="33" t="n">
        <f aca="false">CHOOSE(scenario,'Moteur prudent'!J69,'Moteur central'!J69,'Moteur ambitieux'!J69)</f>
        <v>0</v>
      </c>
      <c r="I21" s="33" t="n">
        <f aca="false">CHOOSE(scenario,'Moteur prudent'!K69,'Moteur central'!K69,'Moteur ambitieux'!K69)</f>
        <v>0</v>
      </c>
      <c r="J21" s="33" t="n">
        <f aca="false">CHOOSE(scenario,'Moteur prudent'!L69,'Moteur central'!L69,'Moteur ambitieux'!L69)</f>
        <v>0</v>
      </c>
      <c r="K21" s="33" t="n">
        <f aca="false">CHOOSE(scenario,'Moteur prudent'!M69,'Moteur central'!M69,'Moteur ambitieux'!M69)</f>
        <v>0</v>
      </c>
      <c r="L21" s="33" t="n">
        <f aca="false">CHOOSE(scenario,'Moteur prudent'!N69,'Moteur central'!N69,'Moteur ambitieux'!N69)</f>
        <v>0</v>
      </c>
      <c r="M21" s="33" t="n">
        <f aca="false">CHOOSE(scenario,'Moteur prudent'!O69,'Moteur central'!O69,'Moteur ambitieux'!O69)</f>
        <v>0</v>
      </c>
      <c r="N21" s="33" t="n">
        <f aca="false">CHOOSE(scenario,'Moteur prudent'!P69,'Moteur central'!P69,'Moteur ambitieux'!P69)</f>
        <v>0</v>
      </c>
      <c r="O21" s="33" t="n">
        <f aca="false">CHOOSE(scenario,'Moteur prudent'!Q69,'Moteur central'!Q69,'Moteur ambitieux'!Q69)</f>
        <v>0</v>
      </c>
      <c r="P21" s="33" t="n">
        <f aca="false">CHOOSE(scenario,'Moteur prudent'!R69,'Moteur central'!R69,'Moteur ambitieux'!R69)</f>
        <v>0</v>
      </c>
      <c r="Q21" s="33" t="n">
        <f aca="false">CHOOSE(scenario,'Moteur prudent'!S69,'Moteur central'!S69,'Moteur ambitieux'!S69)</f>
        <v>0</v>
      </c>
      <c r="R21" s="33" t="n">
        <f aca="false">CHOOSE(scenario,'Moteur prudent'!T69,'Moteur central'!T69,'Moteur ambitieux'!T69)</f>
        <v>0</v>
      </c>
      <c r="S21" s="33" t="n">
        <f aca="false">CHOOSE(scenario,'Moteur prudent'!U69,'Moteur central'!U69,'Moteur ambitieux'!U69)</f>
        <v>0</v>
      </c>
      <c r="T21" s="33" t="n">
        <f aca="false">CHOOSE(scenario,'Moteur prudent'!V69,'Moteur central'!V69,'Moteur ambitieux'!V69)</f>
        <v>0</v>
      </c>
      <c r="U21" s="33" t="n">
        <f aca="false">CHOOSE(scenario,'Moteur prudent'!W69,'Moteur central'!W69,'Moteur ambitieux'!W69)</f>
        <v>0</v>
      </c>
      <c r="V21" s="33" t="n">
        <f aca="false">CHOOSE(scenario,'Moteur prudent'!X69,'Moteur central'!X69,'Moteur ambitieux'!X69)</f>
        <v>0</v>
      </c>
      <c r="W21" s="33" t="n">
        <f aca="false">CHOOSE(scenario,'Moteur prudent'!Y69,'Moteur central'!Y69,'Moteur ambitieux'!Y69)</f>
        <v>0</v>
      </c>
      <c r="X21" s="33" t="n">
        <f aca="false">CHOOSE(scenario,'Moteur prudent'!Z69,'Moteur central'!Z69,'Moteur ambitieux'!Z69)</f>
        <v>0</v>
      </c>
      <c r="Y21" s="33" t="n">
        <f aca="false">CHOOSE(scenario,'Moteur prudent'!AA69,'Moteur central'!AA69,'Moteur ambitieux'!AA69)</f>
        <v>0</v>
      </c>
      <c r="Z21" s="33" t="n">
        <f aca="false">CHOOSE(scenario,'Moteur prudent'!AB69,'Moteur central'!AB69,'Moteur ambitieux'!AB69)</f>
        <v>0</v>
      </c>
      <c r="AA21" s="33" t="n">
        <f aca="false">CHOOSE(scenario,'Moteur prudent'!AC69,'Moteur central'!AC69,'Moteur ambitieux'!AC69)</f>
        <v>0</v>
      </c>
      <c r="AB21" s="33" t="n">
        <f aca="false">CHOOSE(scenario,'Moteur prudent'!AD69,'Moteur central'!AD69,'Moteur ambitieux'!AD69)</f>
        <v>0</v>
      </c>
      <c r="AC21" s="33" t="n">
        <f aca="false">CHOOSE(scenario,'Moteur prudent'!AE69,'Moteur central'!AE69,'Moteur ambitieux'!AE69)</f>
        <v>0</v>
      </c>
      <c r="AD21" s="33" t="n">
        <f aca="false">CHOOSE(scenario,'Moteur prudent'!AF69,'Moteur central'!AF69,'Moteur ambitieux'!AF69)</f>
        <v>0</v>
      </c>
      <c r="AE21" s="33" t="n">
        <f aca="false">CHOOSE(scenario,'Moteur prudent'!AG69,'Moteur central'!AG69,'Moteur ambitieux'!AG69)</f>
        <v>0</v>
      </c>
      <c r="AF21" s="33" t="n">
        <f aca="false">CHOOSE(scenario,'Moteur prudent'!AH69,'Moteur central'!AH69,'Moteur ambitieux'!AH69)</f>
        <v>0</v>
      </c>
      <c r="AG21" s="33" t="n">
        <f aca="false">CHOOSE(scenario,'Moteur prudent'!AI69,'Moteur central'!AI69,'Moteur ambitieux'!AI69)</f>
        <v>0</v>
      </c>
      <c r="AH21" s="33" t="n">
        <f aca="false">CHOOSE(scenario,'Moteur prudent'!AJ69,'Moteur central'!AJ69,'Moteur ambitieux'!AJ69)</f>
        <v>0</v>
      </c>
      <c r="AI21" s="33" t="n">
        <f aca="false">CHOOSE(scenario,'Moteur prudent'!AK69,'Moteur central'!AK69,'Moteur ambitieux'!AK69)</f>
        <v>0</v>
      </c>
      <c r="AJ21" s="33" t="n">
        <f aca="false">CHOOSE(scenario,'Moteur prudent'!AL69,'Moteur central'!AL69,'Moteur ambitieux'!AL69)</f>
        <v>0</v>
      </c>
      <c r="AK21" s="33" t="n">
        <f aca="false">CHOOSE(scenario,'Moteur prudent'!AM69,'Moteur central'!AM69,'Moteur ambitieux'!AM69)</f>
        <v>0</v>
      </c>
      <c r="AM21" s="33" t="n">
        <f aca="false">CHOOSE(scenario,'Moteur prudent'!AO69,'Moteur central'!AO69,'Moteur ambitieux'!AO69)</f>
        <v>220000</v>
      </c>
      <c r="AN21" s="33" t="n">
        <f aca="false">CHOOSE(scenario,'Moteur prudent'!AP69,'Moteur central'!AP69,'Moteur ambitieux'!AP69)</f>
        <v>0</v>
      </c>
      <c r="AO21" s="33" t="n">
        <f aca="false">CHOOSE(scenario,'Moteur prudent'!AQ69,'Moteur central'!AQ69,'Moteur ambitieux'!AQ69)</f>
        <v>0</v>
      </c>
    </row>
    <row r="22" customFormat="false" ht="15" hidden="false" customHeight="false" outlineLevel="0" collapsed="false">
      <c r="A22" s="10" t="s">
        <v>298</v>
      </c>
      <c r="B22" s="33" t="n">
        <f aca="false">-CHOOSE(scenario,'Moteur prudent'!D68,'Moteur central'!D68,'Moteur ambitieux'!D68)</f>
        <v>-0</v>
      </c>
      <c r="C22" s="33" t="n">
        <f aca="false">-CHOOSE(scenario,'Moteur prudent'!E68,'Moteur central'!E68,'Moteur ambitieux'!E68)</f>
        <v>-0</v>
      </c>
      <c r="D22" s="33" t="n">
        <f aca="false">-CHOOSE(scenario,'Moteur prudent'!F68,'Moteur central'!F68,'Moteur ambitieux'!F68)</f>
        <v>-0</v>
      </c>
      <c r="E22" s="33" t="n">
        <f aca="false">-CHOOSE(scenario,'Moteur prudent'!G68,'Moteur central'!G68,'Moteur ambitieux'!G68)</f>
        <v>-0</v>
      </c>
      <c r="F22" s="33" t="n">
        <f aca="false">-CHOOSE(scenario,'Moteur prudent'!H68,'Moteur central'!H68,'Moteur ambitieux'!H68)</f>
        <v>-0</v>
      </c>
      <c r="G22" s="33" t="n">
        <f aca="false">-CHOOSE(scenario,'Moteur prudent'!I68,'Moteur central'!I68,'Moteur ambitieux'!I68)</f>
        <v>-0</v>
      </c>
      <c r="H22" s="33" t="n">
        <f aca="false">-CHOOSE(scenario,'Moteur prudent'!J68,'Moteur central'!J68,'Moteur ambitieux'!J68)</f>
        <v>-0</v>
      </c>
      <c r="I22" s="33" t="n">
        <f aca="false">-CHOOSE(scenario,'Moteur prudent'!K68,'Moteur central'!K68,'Moteur ambitieux'!K68)</f>
        <v>-3683.09458189757</v>
      </c>
      <c r="J22" s="33" t="n">
        <f aca="false">-CHOOSE(scenario,'Moteur prudent'!L68,'Moteur central'!L68,'Moteur ambitieux'!L68)</f>
        <v>-3696.90618657969</v>
      </c>
      <c r="K22" s="33" t="n">
        <f aca="false">-CHOOSE(scenario,'Moteur prudent'!M68,'Moteur central'!M68,'Moteur ambitieux'!M68)</f>
        <v>-3710.76958477936</v>
      </c>
      <c r="L22" s="33" t="n">
        <f aca="false">-CHOOSE(scenario,'Moteur prudent'!N68,'Moteur central'!N68,'Moteur ambitieux'!N68)</f>
        <v>-3724.68497072228</v>
      </c>
      <c r="M22" s="33" t="n">
        <f aca="false">-CHOOSE(scenario,'Moteur prudent'!O68,'Moteur central'!O68,'Moteur ambitieux'!O68)</f>
        <v>-3738.65253936249</v>
      </c>
      <c r="N22" s="33" t="n">
        <f aca="false">-CHOOSE(scenario,'Moteur prudent'!P68,'Moteur central'!P68,'Moteur ambitieux'!P68)</f>
        <v>-3752.6724863851</v>
      </c>
      <c r="O22" s="33" t="n">
        <f aca="false">-CHOOSE(scenario,'Moteur prudent'!Q68,'Moteur central'!Q68,'Moteur ambitieux'!Q68)</f>
        <v>-3766.74500820905</v>
      </c>
      <c r="P22" s="33" t="n">
        <f aca="false">-CHOOSE(scenario,'Moteur prudent'!R68,'Moteur central'!R68,'Moteur ambitieux'!R68)</f>
        <v>-3780.87030198983</v>
      </c>
      <c r="Q22" s="33" t="n">
        <f aca="false">-CHOOSE(scenario,'Moteur prudent'!S68,'Moteur central'!S68,'Moteur ambitieux'!S68)</f>
        <v>-3795.04856562229</v>
      </c>
      <c r="R22" s="33" t="n">
        <f aca="false">-CHOOSE(scenario,'Moteur prudent'!T68,'Moteur central'!T68,'Moteur ambitieux'!T68)</f>
        <v>-3809.27999774337</v>
      </c>
      <c r="S22" s="33" t="n">
        <f aca="false">-CHOOSE(scenario,'Moteur prudent'!U68,'Moteur central'!U68,'Moteur ambitieux'!U68)</f>
        <v>-3823.56479773491</v>
      </c>
      <c r="T22" s="33" t="n">
        <f aca="false">-CHOOSE(scenario,'Moteur prudent'!V68,'Moteur central'!V68,'Moteur ambitieux'!V68)</f>
        <v>-3837.90316572642</v>
      </c>
      <c r="U22" s="33" t="n">
        <f aca="false">-CHOOSE(scenario,'Moteur prudent'!W68,'Moteur central'!W68,'Moteur ambitieux'!W68)</f>
        <v>-3852.29530259789</v>
      </c>
      <c r="V22" s="33" t="n">
        <f aca="false">-CHOOSE(scenario,'Moteur prudent'!X68,'Moteur central'!X68,'Moteur ambitieux'!X68)</f>
        <v>-3866.74140998263</v>
      </c>
      <c r="W22" s="33" t="n">
        <f aca="false">-CHOOSE(scenario,'Moteur prudent'!Y68,'Moteur central'!Y68,'Moteur ambitieux'!Y68)</f>
        <v>-3881.24169027007</v>
      </c>
      <c r="X22" s="33" t="n">
        <f aca="false">-CHOOSE(scenario,'Moteur prudent'!Z68,'Moteur central'!Z68,'Moteur ambitieux'!Z68)</f>
        <v>-3895.79634660858</v>
      </c>
      <c r="Y22" s="33" t="n">
        <f aca="false">-CHOOSE(scenario,'Moteur prudent'!AA68,'Moteur central'!AA68,'Moteur ambitieux'!AA68)</f>
        <v>-3910.40558290836</v>
      </c>
      <c r="Z22" s="33" t="n">
        <f aca="false">-CHOOSE(scenario,'Moteur prudent'!AB68,'Moteur central'!AB68,'Moteur ambitieux'!AB68)</f>
        <v>-3925.06960384427</v>
      </c>
      <c r="AA22" s="33" t="n">
        <f aca="false">-CHOOSE(scenario,'Moteur prudent'!AC68,'Moteur central'!AC68,'Moteur ambitieux'!AC68)</f>
        <v>-3939.78861485869</v>
      </c>
      <c r="AB22" s="33" t="n">
        <f aca="false">-CHOOSE(scenario,'Moteur prudent'!AD68,'Moteur central'!AD68,'Moteur ambitieux'!AD68)</f>
        <v>-3954.56282216441</v>
      </c>
      <c r="AC22" s="33" t="n">
        <f aca="false">-CHOOSE(scenario,'Moteur prudent'!AE68,'Moteur central'!AE68,'Moteur ambitieux'!AE68)</f>
        <v>-3969.39243274752</v>
      </c>
      <c r="AD22" s="33" t="n">
        <f aca="false">-CHOOSE(scenario,'Moteur prudent'!AF68,'Moteur central'!AF68,'Moteur ambitieux'!AF68)</f>
        <v>-3984.27765437033</v>
      </c>
      <c r="AE22" s="33" t="n">
        <f aca="false">-CHOOSE(scenario,'Moteur prudent'!AG68,'Moteur central'!AG68,'Moteur ambitieux'!AG68)</f>
        <v>-3999.21869557422</v>
      </c>
      <c r="AF22" s="33" t="n">
        <f aca="false">-CHOOSE(scenario,'Moteur prudent'!AH68,'Moteur central'!AH68,'Moteur ambitieux'!AH68)</f>
        <v>-4014.21576568262</v>
      </c>
      <c r="AG22" s="33" t="n">
        <f aca="false">-CHOOSE(scenario,'Moteur prudent'!AI68,'Moteur central'!AI68,'Moteur ambitieux'!AI68)</f>
        <v>-4029.26907480393</v>
      </c>
      <c r="AH22" s="33" t="n">
        <f aca="false">-CHOOSE(scenario,'Moteur prudent'!AJ68,'Moteur central'!AJ68,'Moteur ambitieux'!AJ68)</f>
        <v>-4044.37883383444</v>
      </c>
      <c r="AI22" s="33" t="n">
        <f aca="false">-CHOOSE(scenario,'Moteur prudent'!AK68,'Moteur central'!AK68,'Moteur ambitieux'!AK68)</f>
        <v>-4059.54525446132</v>
      </c>
      <c r="AJ22" s="33" t="n">
        <f aca="false">-CHOOSE(scenario,'Moteur prudent'!AL68,'Moteur central'!AL68,'Moteur ambitieux'!AL68)</f>
        <v>-4074.76854916555</v>
      </c>
      <c r="AK22" s="33" t="n">
        <f aca="false">-CHOOSE(scenario,'Moteur prudent'!AM68,'Moteur central'!AM68,'Moteur ambitieux'!AM68)</f>
        <v>-4090.04893122492</v>
      </c>
      <c r="AM22" s="33" t="n">
        <f aca="false">-CHOOSE(scenario,'Moteur prudent'!AO68,'Moteur central'!AO68,'Moteur ambitieux'!AO68)</f>
        <v>-18554.1078633414</v>
      </c>
      <c r="AN22" s="33" t="n">
        <f aca="false">-CHOOSE(scenario,'Moteur prudent'!AP68,'Moteur central'!AP68,'Moteur ambitieux'!AP68)</f>
        <v>-45972.5646557785</v>
      </c>
      <c r="AO22" s="33" t="n">
        <f aca="false">-CHOOSE(scenario,'Moteur prudent'!AQ68,'Moteur central'!AQ68,'Moteur ambitieux'!AQ68)</f>
        <v>-48084.5362327322</v>
      </c>
    </row>
    <row r="23" customFormat="false" ht="15" hidden="false" customHeight="false" outlineLevel="0" collapsed="false">
      <c r="A23" s="10" t="s">
        <v>299</v>
      </c>
      <c r="B23" s="33" t="n">
        <f aca="false">-CHOOSE(scenario,'Moteur prudent'!D67,'Moteur central'!D67,'Moteur ambitieux'!D67)</f>
        <v>-0</v>
      </c>
      <c r="C23" s="33" t="n">
        <f aca="false">-CHOOSE(scenario,'Moteur prudent'!E67,'Moteur central'!E67,'Moteur ambitieux'!E67)</f>
        <v>-825</v>
      </c>
      <c r="D23" s="33" t="n">
        <f aca="false">-CHOOSE(scenario,'Moteur prudent'!F67,'Moteur central'!F67,'Moteur ambitieux'!F67)</f>
        <v>-825</v>
      </c>
      <c r="E23" s="33" t="n">
        <f aca="false">-CHOOSE(scenario,'Moteur prudent'!G67,'Moteur central'!G67,'Moteur ambitieux'!G67)</f>
        <v>-825</v>
      </c>
      <c r="F23" s="33" t="n">
        <f aca="false">-CHOOSE(scenario,'Moteur prudent'!H67,'Moteur central'!H67,'Moteur ambitieux'!H67)</f>
        <v>-825</v>
      </c>
      <c r="G23" s="33" t="n">
        <f aca="false">-CHOOSE(scenario,'Moteur prudent'!I67,'Moteur central'!I67,'Moteur ambitieux'!I67)</f>
        <v>-825</v>
      </c>
      <c r="H23" s="33" t="n">
        <f aca="false">-CHOOSE(scenario,'Moteur prudent'!J67,'Moteur central'!J67,'Moteur ambitieux'!J67)</f>
        <v>-825</v>
      </c>
      <c r="I23" s="33" t="n">
        <f aca="false">-CHOOSE(scenario,'Moteur prudent'!K67,'Moteur central'!K67,'Moteur ambitieux'!K67)</f>
        <v>-825</v>
      </c>
      <c r="J23" s="33" t="n">
        <f aca="false">-CHOOSE(scenario,'Moteur prudent'!L67,'Moteur central'!L67,'Moteur ambitieux'!L67)</f>
        <v>-811.188395317884</v>
      </c>
      <c r="K23" s="33" t="n">
        <f aca="false">-CHOOSE(scenario,'Moteur prudent'!M67,'Moteur central'!M67,'Moteur ambitieux'!M67)</f>
        <v>-797.32499711821</v>
      </c>
      <c r="L23" s="33" t="n">
        <f aca="false">-CHOOSE(scenario,'Moteur prudent'!N67,'Moteur central'!N67,'Moteur ambitieux'!N67)</f>
        <v>-783.409611175288</v>
      </c>
      <c r="M23" s="33" t="n">
        <f aca="false">-CHOOSE(scenario,'Moteur prudent'!O67,'Moteur central'!O67,'Moteur ambitieux'!O67)</f>
        <v>-769.442042535079</v>
      </c>
      <c r="N23" s="33" t="n">
        <f aca="false">-CHOOSE(scenario,'Moteur prudent'!P67,'Moteur central'!P67,'Moteur ambitieux'!P67)</f>
        <v>-755.42209551247</v>
      </c>
      <c r="O23" s="33" t="n">
        <f aca="false">-CHOOSE(scenario,'Moteur prudent'!Q67,'Moteur central'!Q67,'Moteur ambitieux'!Q67)</f>
        <v>-741.349573688526</v>
      </c>
      <c r="P23" s="33" t="n">
        <f aca="false">-CHOOSE(scenario,'Moteur prudent'!R67,'Moteur central'!R67,'Moteur ambitieux'!R67)</f>
        <v>-727.224279907742</v>
      </c>
      <c r="Q23" s="33" t="n">
        <f aca="false">-CHOOSE(scenario,'Moteur prudent'!S67,'Moteur central'!S67,'Moteur ambitieux'!S67)</f>
        <v>-713.04601627528</v>
      </c>
      <c r="R23" s="33" t="n">
        <f aca="false">-CHOOSE(scenario,'Moteur prudent'!T67,'Moteur central'!T67,'Moteur ambitieux'!T67)</f>
        <v>-698.814584154196</v>
      </c>
      <c r="S23" s="33" t="n">
        <f aca="false">-CHOOSE(scenario,'Moteur prudent'!U67,'Moteur central'!U67,'Moteur ambitieux'!U67)</f>
        <v>-684.529784162658</v>
      </c>
      <c r="T23" s="33" t="n">
        <f aca="false">-CHOOSE(scenario,'Moteur prudent'!V67,'Moteur central'!V67,'Moteur ambitieux'!V67)</f>
        <v>-670.191416171153</v>
      </c>
      <c r="U23" s="33" t="n">
        <f aca="false">-CHOOSE(scenario,'Moteur prudent'!W67,'Moteur central'!W67,'Moteur ambitieux'!W67)</f>
        <v>-655.799279299679</v>
      </c>
      <c r="V23" s="33" t="n">
        <f aca="false">-CHOOSE(scenario,'Moteur prudent'!X67,'Moteur central'!X67,'Moteur ambitieux'!X67)</f>
        <v>-641.353171914936</v>
      </c>
      <c r="W23" s="33" t="n">
        <f aca="false">-CHOOSE(scenario,'Moteur prudent'!Y67,'Moteur central'!Y67,'Moteur ambitieux'!Y67)</f>
        <v>-626.852891627501</v>
      </c>
      <c r="X23" s="33" t="n">
        <f aca="false">-CHOOSE(scenario,'Moteur prudent'!Z67,'Moteur central'!Z67,'Moteur ambitieux'!Z67)</f>
        <v>-612.298235288989</v>
      </c>
      <c r="Y23" s="33" t="n">
        <f aca="false">-CHOOSE(scenario,'Moteur prudent'!AA67,'Moteur central'!AA67,'Moteur ambitieux'!AA67)</f>
        <v>-597.688998989207</v>
      </c>
      <c r="Z23" s="33" t="n">
        <f aca="false">-CHOOSE(scenario,'Moteur prudent'!AB67,'Moteur central'!AB67,'Moteur ambitieux'!AB67)</f>
        <v>-583.0249780533</v>
      </c>
      <c r="AA23" s="33" t="n">
        <f aca="false">-CHOOSE(scenario,'Moteur prudent'!AC67,'Moteur central'!AC67,'Moteur ambitieux'!AC67)</f>
        <v>-568.305967038884</v>
      </c>
      <c r="AB23" s="33" t="n">
        <f aca="false">-CHOOSE(scenario,'Moteur prudent'!AD67,'Moteur central'!AD67,'Moteur ambitieux'!AD67)</f>
        <v>-553.531759733164</v>
      </c>
      <c r="AC23" s="33" t="n">
        <f aca="false">-CHOOSE(scenario,'Moteur prudent'!AE67,'Moteur central'!AE67,'Moteur ambitieux'!AE67)</f>
        <v>-538.702149150047</v>
      </c>
      <c r="AD23" s="33" t="n">
        <f aca="false">-CHOOSE(scenario,'Moteur prudent'!AF67,'Moteur central'!AF67,'Moteur ambitieux'!AF67)</f>
        <v>-523.816927527244</v>
      </c>
      <c r="AE23" s="33" t="n">
        <f aca="false">-CHOOSE(scenario,'Moteur prudent'!AG67,'Moteur central'!AG67,'Moteur ambitieux'!AG67)</f>
        <v>-508.875886323356</v>
      </c>
      <c r="AF23" s="33" t="n">
        <f aca="false">-CHOOSE(scenario,'Moteur prudent'!AH67,'Moteur central'!AH67,'Moteur ambitieux'!AH67)</f>
        <v>-493.878816214952</v>
      </c>
      <c r="AG23" s="33" t="n">
        <f aca="false">-CHOOSE(scenario,'Moteur prudent'!AI67,'Moteur central'!AI67,'Moteur ambitieux'!AI67)</f>
        <v>-478.825507093642</v>
      </c>
      <c r="AH23" s="33" t="n">
        <f aca="false">-CHOOSE(scenario,'Moteur prudent'!AJ67,'Moteur central'!AJ67,'Moteur ambitieux'!AJ67)</f>
        <v>-463.715748063128</v>
      </c>
      <c r="AI23" s="33" t="n">
        <f aca="false">-CHOOSE(scenario,'Moteur prudent'!AK67,'Moteur central'!AK67,'Moteur ambitieux'!AK67)</f>
        <v>-448.549327436248</v>
      </c>
      <c r="AJ23" s="33" t="n">
        <f aca="false">-CHOOSE(scenario,'Moteur prudent'!AL67,'Moteur central'!AL67,'Moteur ambitieux'!AL67)</f>
        <v>-433.326032732019</v>
      </c>
      <c r="AK23" s="33" t="n">
        <f aca="false">-CHOOSE(scenario,'Moteur prudent'!AM67,'Moteur central'!AM67,'Moteur ambitieux'!AM67)</f>
        <v>-418.045650672648</v>
      </c>
      <c r="AM23" s="33" t="n">
        <f aca="false">-CHOOSE(scenario,'Moteur prudent'!AO67,'Moteur central'!AO67,'Moteur ambitieux'!AO67)</f>
        <v>-8936.36504614646</v>
      </c>
      <c r="AN23" s="33" t="n">
        <f aca="false">-CHOOSE(scenario,'Moteur prudent'!AP67,'Moteur central'!AP67,'Moteur ambitieux'!AP67)</f>
        <v>-8124.57032699234</v>
      </c>
      <c r="AO23" s="33" t="n">
        <f aca="false">-CHOOSE(scenario,'Moteur prudent'!AQ67,'Moteur central'!AQ67,'Moteur ambitieux'!AQ67)</f>
        <v>-6012.59875003863</v>
      </c>
    </row>
    <row r="24" customFormat="false" ht="15" hidden="false" customHeight="false" outlineLevel="0" collapsed="false">
      <c r="A24" s="11" t="s">
        <v>300</v>
      </c>
      <c r="B24" s="32" t="n">
        <f aca="false">CHOOSE(scenario,'Moteur prudent'!D86,'Moteur central'!D86,'Moteur ambitieux'!D86)</f>
        <v>1020000</v>
      </c>
      <c r="C24" s="32" t="n">
        <f aca="false">CHOOSE(scenario,'Moteur prudent'!E86,'Moteur central'!E86,'Moteur ambitieux'!E86)</f>
        <v>-825</v>
      </c>
      <c r="D24" s="32" t="n">
        <f aca="false">CHOOSE(scenario,'Moteur prudent'!F86,'Moteur central'!F86,'Moteur ambitieux'!F86)</f>
        <v>-825</v>
      </c>
      <c r="E24" s="32" t="n">
        <f aca="false">CHOOSE(scenario,'Moteur prudent'!G86,'Moteur central'!G86,'Moteur ambitieux'!G86)</f>
        <v>-825</v>
      </c>
      <c r="F24" s="32" t="n">
        <f aca="false">CHOOSE(scenario,'Moteur prudent'!H86,'Moteur central'!H86,'Moteur ambitieux'!H86)</f>
        <v>-825</v>
      </c>
      <c r="G24" s="32" t="n">
        <f aca="false">CHOOSE(scenario,'Moteur prudent'!I86,'Moteur central'!I86,'Moteur ambitieux'!I86)</f>
        <v>-825</v>
      </c>
      <c r="H24" s="32" t="n">
        <f aca="false">CHOOSE(scenario,'Moteur prudent'!J86,'Moteur central'!J86,'Moteur ambitieux'!J86)</f>
        <v>-825</v>
      </c>
      <c r="I24" s="32" t="n">
        <f aca="false">CHOOSE(scenario,'Moteur prudent'!K86,'Moteur central'!K86,'Moteur ambitieux'!K86)</f>
        <v>-4508.09458189757</v>
      </c>
      <c r="J24" s="32" t="n">
        <f aca="false">CHOOSE(scenario,'Moteur prudent'!L86,'Moteur central'!L86,'Moteur ambitieux'!L86)</f>
        <v>-4508.09458189757</v>
      </c>
      <c r="K24" s="32" t="n">
        <f aca="false">CHOOSE(scenario,'Moteur prudent'!M86,'Moteur central'!M86,'Moteur ambitieux'!M86)</f>
        <v>-4508.09458189757</v>
      </c>
      <c r="L24" s="32" t="n">
        <f aca="false">CHOOSE(scenario,'Moteur prudent'!N86,'Moteur central'!N86,'Moteur ambitieux'!N86)</f>
        <v>-4508.09458189757</v>
      </c>
      <c r="M24" s="32" t="n">
        <f aca="false">CHOOSE(scenario,'Moteur prudent'!O86,'Moteur central'!O86,'Moteur ambitieux'!O86)</f>
        <v>-4508.09458189757</v>
      </c>
      <c r="N24" s="32" t="n">
        <f aca="false">CHOOSE(scenario,'Moteur prudent'!P86,'Moteur central'!P86,'Moteur ambitieux'!P86)</f>
        <v>-4508.09458189757</v>
      </c>
      <c r="O24" s="32" t="n">
        <f aca="false">CHOOSE(scenario,'Moteur prudent'!Q86,'Moteur central'!Q86,'Moteur ambitieux'!Q86)</f>
        <v>-4508.09458189757</v>
      </c>
      <c r="P24" s="32" t="n">
        <f aca="false">CHOOSE(scenario,'Moteur prudent'!R86,'Moteur central'!R86,'Moteur ambitieux'!R86)</f>
        <v>-4508.09458189757</v>
      </c>
      <c r="Q24" s="32" t="n">
        <f aca="false">CHOOSE(scenario,'Moteur prudent'!S86,'Moteur central'!S86,'Moteur ambitieux'!S86)</f>
        <v>-4508.09458189757</v>
      </c>
      <c r="R24" s="32" t="n">
        <f aca="false">CHOOSE(scenario,'Moteur prudent'!T86,'Moteur central'!T86,'Moteur ambitieux'!T86)</f>
        <v>-4508.09458189757</v>
      </c>
      <c r="S24" s="32" t="n">
        <f aca="false">CHOOSE(scenario,'Moteur prudent'!U86,'Moteur central'!U86,'Moteur ambitieux'!U86)</f>
        <v>-4508.09458189757</v>
      </c>
      <c r="T24" s="32" t="n">
        <f aca="false">CHOOSE(scenario,'Moteur prudent'!V86,'Moteur central'!V86,'Moteur ambitieux'!V86)</f>
        <v>-4508.09458189757</v>
      </c>
      <c r="U24" s="32" t="n">
        <f aca="false">CHOOSE(scenario,'Moteur prudent'!W86,'Moteur central'!W86,'Moteur ambitieux'!W86)</f>
        <v>-4508.09458189757</v>
      </c>
      <c r="V24" s="32" t="n">
        <f aca="false">CHOOSE(scenario,'Moteur prudent'!X86,'Moteur central'!X86,'Moteur ambitieux'!X86)</f>
        <v>-4508.09458189757</v>
      </c>
      <c r="W24" s="32" t="n">
        <f aca="false">CHOOSE(scenario,'Moteur prudent'!Y86,'Moteur central'!Y86,'Moteur ambitieux'!Y86)</f>
        <v>-4508.09458189757</v>
      </c>
      <c r="X24" s="32" t="n">
        <f aca="false">CHOOSE(scenario,'Moteur prudent'!Z86,'Moteur central'!Z86,'Moteur ambitieux'!Z86)</f>
        <v>-4508.09458189757</v>
      </c>
      <c r="Y24" s="32" t="n">
        <f aca="false">CHOOSE(scenario,'Moteur prudent'!AA86,'Moteur central'!AA86,'Moteur ambitieux'!AA86)</f>
        <v>-4508.09458189757</v>
      </c>
      <c r="Z24" s="32" t="n">
        <f aca="false">CHOOSE(scenario,'Moteur prudent'!AB86,'Moteur central'!AB86,'Moteur ambitieux'!AB86)</f>
        <v>-4508.09458189757</v>
      </c>
      <c r="AA24" s="32" t="n">
        <f aca="false">CHOOSE(scenario,'Moteur prudent'!AC86,'Moteur central'!AC86,'Moteur ambitieux'!AC86)</f>
        <v>-4508.09458189757</v>
      </c>
      <c r="AB24" s="32" t="n">
        <f aca="false">CHOOSE(scenario,'Moteur prudent'!AD86,'Moteur central'!AD86,'Moteur ambitieux'!AD86)</f>
        <v>-4508.09458189757</v>
      </c>
      <c r="AC24" s="32" t="n">
        <f aca="false">CHOOSE(scenario,'Moteur prudent'!AE86,'Moteur central'!AE86,'Moteur ambitieux'!AE86)</f>
        <v>-4508.09458189757</v>
      </c>
      <c r="AD24" s="32" t="n">
        <f aca="false">CHOOSE(scenario,'Moteur prudent'!AF86,'Moteur central'!AF86,'Moteur ambitieux'!AF86)</f>
        <v>-4508.09458189757</v>
      </c>
      <c r="AE24" s="32" t="n">
        <f aca="false">CHOOSE(scenario,'Moteur prudent'!AG86,'Moteur central'!AG86,'Moteur ambitieux'!AG86)</f>
        <v>-4508.09458189757</v>
      </c>
      <c r="AF24" s="32" t="n">
        <f aca="false">CHOOSE(scenario,'Moteur prudent'!AH86,'Moteur central'!AH86,'Moteur ambitieux'!AH86)</f>
        <v>-4508.09458189757</v>
      </c>
      <c r="AG24" s="32" t="n">
        <f aca="false">CHOOSE(scenario,'Moteur prudent'!AI86,'Moteur central'!AI86,'Moteur ambitieux'!AI86)</f>
        <v>-4508.09458189757</v>
      </c>
      <c r="AH24" s="32" t="n">
        <f aca="false">CHOOSE(scenario,'Moteur prudent'!AJ86,'Moteur central'!AJ86,'Moteur ambitieux'!AJ86)</f>
        <v>-4508.09458189757</v>
      </c>
      <c r="AI24" s="32" t="n">
        <f aca="false">CHOOSE(scenario,'Moteur prudent'!AK86,'Moteur central'!AK86,'Moteur ambitieux'!AK86)</f>
        <v>-4508.09458189757</v>
      </c>
      <c r="AJ24" s="32" t="n">
        <f aca="false">CHOOSE(scenario,'Moteur prudent'!AL86,'Moteur central'!AL86,'Moteur ambitieux'!AL86)</f>
        <v>-4508.09458189757</v>
      </c>
      <c r="AK24" s="32" t="n">
        <f aca="false">CHOOSE(scenario,'Moteur prudent'!AM86,'Moteur central'!AM86,'Moteur ambitieux'!AM86)</f>
        <v>-4508.09458189757</v>
      </c>
      <c r="AM24" s="32" t="n">
        <f aca="false">CHOOSE(scenario,'Moteur prudent'!AO86,'Moteur central'!AO86,'Moteur ambitieux'!AO86)</f>
        <v>992509.527090512</v>
      </c>
      <c r="AN24" s="32" t="n">
        <f aca="false">CHOOSE(scenario,'Moteur prudent'!AP86,'Moteur central'!AP86,'Moteur ambitieux'!AP86)</f>
        <v>-54097.1349827709</v>
      </c>
      <c r="AO24" s="32" t="n">
        <f aca="false">CHOOSE(scenario,'Moteur prudent'!AQ86,'Moteur central'!AQ86,'Moteur ambitieux'!AQ86)</f>
        <v>-54097.1349827709</v>
      </c>
    </row>
    <row r="25" customFormat="false" ht="15" hidden="false" customHeight="false" outlineLevel="0" collapsed="false">
      <c r="A25" s="11" t="s">
        <v>301</v>
      </c>
      <c r="B25" s="32" t="n">
        <f aca="false">CHOOSE(scenario,'Moteur prudent'!D87,'Moteur central'!D87,'Moteur ambitieux'!D87)</f>
        <v>771566.666666667</v>
      </c>
      <c r="C25" s="32" t="n">
        <f aca="false">CHOOSE(scenario,'Moteur prudent'!E87,'Moteur central'!E87,'Moteur ambitieux'!E87)</f>
        <v>-20053.3733333333</v>
      </c>
      <c r="D25" s="32" t="n">
        <f aca="false">CHOOSE(scenario,'Moteur prudent'!F87,'Moteur central'!F87,'Moteur ambitieux'!F87)</f>
        <v>-18751.3128533333</v>
      </c>
      <c r="E25" s="32" t="n">
        <f aca="false">CHOOSE(scenario,'Moteur prudent'!G87,'Moteur central'!G87,'Moteur ambitieux'!G87)</f>
        <v>-22152.9145274667</v>
      </c>
      <c r="F25" s="32" t="n">
        <f aca="false">CHOOSE(scenario,'Moteur prudent'!H87,'Moteur central'!H87,'Moteur ambitieux'!H87)</f>
        <v>-20744.0866114969</v>
      </c>
      <c r="G25" s="32" t="n">
        <f aca="false">CHOOSE(scenario,'Moteur prudent'!I87,'Moteur central'!I87,'Moteur ambitieux'!I87)</f>
        <v>-19254.4942326481</v>
      </c>
      <c r="H25" s="32" t="n">
        <f aca="false">CHOOSE(scenario,'Moteur prudent'!J87,'Moteur central'!J87,'Moteur ambitieux'!J87)</f>
        <v>-17714.2220584197</v>
      </c>
      <c r="I25" s="32" t="n">
        <f aca="false">CHOOSE(scenario,'Moteur prudent'!K87,'Moteur central'!K87,'Moteur ambitieux'!K87)</f>
        <v>-20250.1429601317</v>
      </c>
      <c r="J25" s="32" t="n">
        <f aca="false">CHOOSE(scenario,'Moteur prudent'!L87,'Moteur central'!L87,'Moteur ambitieux'!L87)</f>
        <v>-22367.7195578778</v>
      </c>
      <c r="K25" s="32" t="n">
        <f aca="false">CHOOSE(scenario,'Moteur prudent'!M87,'Moteur central'!M87,'Moteur ambitieux'!M87)</f>
        <v>-19327.8088495302</v>
      </c>
      <c r="L25" s="32" t="n">
        <f aca="false">CHOOSE(scenario,'Moteur prudent'!N87,'Moteur central'!N87,'Moteur ambitieux'!N87)</f>
        <v>-17927.3207847674</v>
      </c>
      <c r="M25" s="32" t="n">
        <f aca="false">CHOOSE(scenario,'Moteur prudent'!O87,'Moteur central'!O87,'Moteur ambitieux'!O87)</f>
        <v>-18080.8282121946</v>
      </c>
      <c r="N25" s="32" t="n">
        <f aca="false">CHOOSE(scenario,'Moteur prudent'!P87,'Moteur central'!P87,'Moteur ambitieux'!P87)</f>
        <v>-22056.8635724859</v>
      </c>
      <c r="O25" s="32" t="n">
        <f aca="false">CHOOSE(scenario,'Moteur prudent'!Q87,'Moteur central'!Q87,'Moteur ambitieux'!Q87)</f>
        <v>-27330.5064811258</v>
      </c>
      <c r="P25" s="32" t="n">
        <f aca="false">CHOOSE(scenario,'Moteur prudent'!R87,'Moteur central'!R87,'Moteur ambitieux'!R87)</f>
        <v>-27364.0066616187</v>
      </c>
      <c r="Q25" s="32" t="n">
        <f aca="false">CHOOSE(scenario,'Moteur prudent'!S87,'Moteur central'!S87,'Moteur ambitieux'!S87)</f>
        <v>-26020.8182223301</v>
      </c>
      <c r="R25" s="32" t="n">
        <f aca="false">CHOOSE(scenario,'Moteur prudent'!T87,'Moteur central'!T87,'Moteur ambitieux'!T87)</f>
        <v>-23624.2486000029</v>
      </c>
      <c r="S25" s="32" t="n">
        <f aca="false">CHOOSE(scenario,'Moteur prudent'!U87,'Moteur central'!U87,'Moteur ambitieux'!U87)</f>
        <v>-20577.0295579147</v>
      </c>
      <c r="T25" s="32" t="n">
        <f aca="false">CHOOSE(scenario,'Moteur prudent'!V87,'Moteur central'!V87,'Moteur ambitieux'!V87)</f>
        <v>-14312.7066034565</v>
      </c>
      <c r="U25" s="32" t="n">
        <f aca="false">CHOOSE(scenario,'Moteur prudent'!W87,'Moteur central'!W87,'Moteur ambitieux'!W87)</f>
        <v>-9828.66018266369</v>
      </c>
      <c r="V25" s="32" t="n">
        <f aca="false">CHOOSE(scenario,'Moteur prudent'!X87,'Moteur central'!X87,'Moteur ambitieux'!X87)</f>
        <v>-25909.4005554846</v>
      </c>
      <c r="W25" s="32" t="n">
        <f aca="false">CHOOSE(scenario,'Moteur prudent'!Y87,'Moteur central'!Y87,'Moteur ambitieux'!Y87)</f>
        <v>-11390.5436540296</v>
      </c>
      <c r="X25" s="32" t="n">
        <f aca="false">CHOOSE(scenario,'Moteur prudent'!Z87,'Moteur central'!Z87,'Moteur ambitieux'!Z87)</f>
        <v>-8741.06076679896</v>
      </c>
      <c r="Y25" s="32" t="n">
        <f aca="false">CHOOSE(scenario,'Moteur prudent'!AA87,'Moteur central'!AA87,'Moteur ambitieux'!AA87)</f>
        <v>-160707.795888845</v>
      </c>
      <c r="Z25" s="32" t="n">
        <f aca="false">CHOOSE(scenario,'Moteur prudent'!AB87,'Moteur central'!AB87,'Moteur ambitieux'!AB87)</f>
        <v>-10653.0620265239</v>
      </c>
      <c r="AA25" s="32" t="n">
        <f aca="false">CHOOSE(scenario,'Moteur prudent'!AC87,'Moteur central'!AC87,'Moteur ambitieux'!AC87)</f>
        <v>-17498.4280063679</v>
      </c>
      <c r="AB25" s="32" t="n">
        <f aca="false">CHOOSE(scenario,'Moteur prudent'!AD87,'Moteur central'!AD87,'Moteur ambitieux'!AD87)</f>
        <v>-22762.9457916655</v>
      </c>
      <c r="AC25" s="32" t="n">
        <f aca="false">CHOOSE(scenario,'Moteur prudent'!AE87,'Moteur central'!AE87,'Moteur ambitieux'!AE87)</f>
        <v>-15961.5891587838</v>
      </c>
      <c r="AD25" s="32" t="n">
        <f aca="false">CHOOSE(scenario,'Moteur prudent'!AF87,'Moteur central'!AF87,'Moteur ambitieux'!AF87)</f>
        <v>-13034.9572142164</v>
      </c>
      <c r="AE25" s="32" t="n">
        <f aca="false">CHOOSE(scenario,'Moteur prudent'!AG87,'Moteur central'!AG87,'Moteur ambitieux'!AG87)</f>
        <v>-8655.17506325107</v>
      </c>
      <c r="AF25" s="32" t="n">
        <f aca="false">CHOOSE(scenario,'Moteur prudent'!AH87,'Moteur central'!AH87,'Moteur ambitieux'!AH87)</f>
        <v>2230.24043411774</v>
      </c>
      <c r="AG25" s="32" t="n">
        <f aca="false">CHOOSE(scenario,'Moteur prudent'!AI87,'Moteur central'!AI87,'Moteur ambitieux'!AI87)</f>
        <v>5661.96788681659</v>
      </c>
      <c r="AH25" s="32" t="n">
        <f aca="false">CHOOSE(scenario,'Moteur prudent'!AJ87,'Moteur central'!AJ87,'Moteur ambitieux'!AJ87)</f>
        <v>-21927.2193484326</v>
      </c>
      <c r="AI25" s="32" t="n">
        <f aca="false">CHOOSE(scenario,'Moteur prudent'!AK87,'Moteur central'!AK87,'Moteur ambitieux'!AK87)</f>
        <v>2422.68867520101</v>
      </c>
      <c r="AJ25" s="32" t="n">
        <f aca="false">CHOOSE(scenario,'Moteur prudent'!AL87,'Moteur central'!AL87,'Moteur ambitieux'!AL87)</f>
        <v>5604.62201329234</v>
      </c>
      <c r="AK25" s="32" t="n">
        <f aca="false">CHOOSE(scenario,'Moteur prudent'!AM87,'Moteur central'!AM87,'Moteur ambitieux'!AM87)</f>
        <v>356.895675725828</v>
      </c>
      <c r="AM25" s="32" t="n">
        <f aca="false">CHOOSE(scenario,'Moteur prudent'!AO87,'Moteur central'!AO87,'Moteur ambitieux'!AO87)</f>
        <v>554942.442685467</v>
      </c>
      <c r="AN25" s="32" t="n">
        <f aca="false">CHOOSE(scenario,'Moteur prudent'!AP87,'Moteur central'!AP87,'Moteur ambitieux'!AP87)</f>
        <v>-377863.640746757</v>
      </c>
      <c r="AO25" s="32" t="n">
        <f aca="false">CHOOSE(scenario,'Moteur prudent'!AQ87,'Moteur central'!AQ87,'Moteur ambitieux'!AQ87)</f>
        <v>-94216.9619240877</v>
      </c>
    </row>
    <row r="26" customFormat="false" ht="15" hidden="false" customHeight="false" outlineLevel="0" collapsed="false">
      <c r="A26" s="11" t="s">
        <v>302</v>
      </c>
      <c r="B26" s="32" t="n">
        <f aca="false">CHOOSE(scenario,'Moteur prudent'!D88,'Moteur central'!D88,'Moteur ambitieux'!D88)</f>
        <v>771566.666666667</v>
      </c>
      <c r="C26" s="32" t="n">
        <f aca="false">CHOOSE(scenario,'Moteur prudent'!E88,'Moteur central'!E88,'Moteur ambitieux'!E88)</f>
        <v>751513.293333333</v>
      </c>
      <c r="D26" s="32" t="n">
        <f aca="false">CHOOSE(scenario,'Moteur prudent'!F88,'Moteur central'!F88,'Moteur ambitieux'!F88)</f>
        <v>732761.98048</v>
      </c>
      <c r="E26" s="32" t="n">
        <f aca="false">CHOOSE(scenario,'Moteur prudent'!G88,'Moteur central'!G88,'Moteur ambitieux'!G88)</f>
        <v>710609.065952533</v>
      </c>
      <c r="F26" s="32" t="n">
        <f aca="false">CHOOSE(scenario,'Moteur prudent'!H88,'Moteur central'!H88,'Moteur ambitieux'!H88)</f>
        <v>689864.979341037</v>
      </c>
      <c r="G26" s="32" t="n">
        <f aca="false">CHOOSE(scenario,'Moteur prudent'!I88,'Moteur central'!I88,'Moteur ambitieux'!I88)</f>
        <v>670610.485108388</v>
      </c>
      <c r="H26" s="32" t="n">
        <f aca="false">CHOOSE(scenario,'Moteur prudent'!J88,'Moteur central'!J88,'Moteur ambitieux'!J88)</f>
        <v>652896.263049969</v>
      </c>
      <c r="I26" s="32" t="n">
        <f aca="false">CHOOSE(scenario,'Moteur prudent'!K88,'Moteur central'!K88,'Moteur ambitieux'!K88)</f>
        <v>632646.120089837</v>
      </c>
      <c r="J26" s="32" t="n">
        <f aca="false">CHOOSE(scenario,'Moteur prudent'!L88,'Moteur central'!L88,'Moteur ambitieux'!L88)</f>
        <v>610278.400531959</v>
      </c>
      <c r="K26" s="32" t="n">
        <f aca="false">CHOOSE(scenario,'Moteur prudent'!M88,'Moteur central'!M88,'Moteur ambitieux'!M88)</f>
        <v>590950.591682429</v>
      </c>
      <c r="L26" s="32" t="n">
        <f aca="false">CHOOSE(scenario,'Moteur prudent'!N88,'Moteur central'!N88,'Moteur ambitieux'!N88)</f>
        <v>573023.270897662</v>
      </c>
      <c r="M26" s="32" t="n">
        <f aca="false">CHOOSE(scenario,'Moteur prudent'!O88,'Moteur central'!O88,'Moteur ambitieux'!O88)</f>
        <v>554942.442685467</v>
      </c>
      <c r="N26" s="32" t="n">
        <f aca="false">CHOOSE(scenario,'Moteur prudent'!P88,'Moteur central'!P88,'Moteur ambitieux'!P88)</f>
        <v>532885.579112981</v>
      </c>
      <c r="O26" s="32" t="n">
        <f aca="false">CHOOSE(scenario,'Moteur prudent'!Q88,'Moteur central'!Q88,'Moteur ambitieux'!Q88)</f>
        <v>505555.072631855</v>
      </c>
      <c r="P26" s="32" t="n">
        <f aca="false">CHOOSE(scenario,'Moteur prudent'!R88,'Moteur central'!R88,'Moteur ambitieux'!R88)</f>
        <v>478191.065970236</v>
      </c>
      <c r="Q26" s="32" t="n">
        <f aca="false">CHOOSE(scenario,'Moteur prudent'!S88,'Moteur central'!S88,'Moteur ambitieux'!S88)</f>
        <v>452170.247747906</v>
      </c>
      <c r="R26" s="32" t="n">
        <f aca="false">CHOOSE(scenario,'Moteur prudent'!T88,'Moteur central'!T88,'Moteur ambitieux'!T88)</f>
        <v>428545.999147903</v>
      </c>
      <c r="S26" s="32" t="n">
        <f aca="false">CHOOSE(scenario,'Moteur prudent'!U88,'Moteur central'!U88,'Moteur ambitieux'!U88)</f>
        <v>407968.969589989</v>
      </c>
      <c r="T26" s="32" t="n">
        <f aca="false">CHOOSE(scenario,'Moteur prudent'!V88,'Moteur central'!V88,'Moteur ambitieux'!V88)</f>
        <v>393656.262986532</v>
      </c>
      <c r="U26" s="32" t="n">
        <f aca="false">CHOOSE(scenario,'Moteur prudent'!W88,'Moteur central'!W88,'Moteur ambitieux'!W88)</f>
        <v>383827.602803869</v>
      </c>
      <c r="V26" s="32" t="n">
        <f aca="false">CHOOSE(scenario,'Moteur prudent'!X88,'Moteur central'!X88,'Moteur ambitieux'!X88)</f>
        <v>357918.202248384</v>
      </c>
      <c r="W26" s="32" t="n">
        <f aca="false">CHOOSE(scenario,'Moteur prudent'!Y88,'Moteur central'!Y88,'Moteur ambitieux'!Y88)</f>
        <v>346527.658594354</v>
      </c>
      <c r="X26" s="32" t="n">
        <f aca="false">CHOOSE(scenario,'Moteur prudent'!Z88,'Moteur central'!Z88,'Moteur ambitieux'!Z88)</f>
        <v>337786.597827555</v>
      </c>
      <c r="Y26" s="32" t="n">
        <f aca="false">CHOOSE(scenario,'Moteur prudent'!AA88,'Moteur central'!AA88,'Moteur ambitieux'!AA88)</f>
        <v>177078.80193871</v>
      </c>
      <c r="Z26" s="32" t="n">
        <f aca="false">CHOOSE(scenario,'Moteur prudent'!AB88,'Moteur central'!AB88,'Moteur ambitieux'!AB88)</f>
        <v>166425.739912186</v>
      </c>
      <c r="AA26" s="32" t="n">
        <f aca="false">CHOOSE(scenario,'Moteur prudent'!AC88,'Moteur central'!AC88,'Moteur ambitieux'!AC88)</f>
        <v>148927.311905818</v>
      </c>
      <c r="AB26" s="32" t="n">
        <f aca="false">CHOOSE(scenario,'Moteur prudent'!AD88,'Moteur central'!AD88,'Moteur ambitieux'!AD88)</f>
        <v>126164.366114153</v>
      </c>
      <c r="AC26" s="32" t="n">
        <f aca="false">CHOOSE(scenario,'Moteur prudent'!AE88,'Moteur central'!AE88,'Moteur ambitieux'!AE88)</f>
        <v>110202.776955369</v>
      </c>
      <c r="AD26" s="32" t="n">
        <f aca="false">CHOOSE(scenario,'Moteur prudent'!AF88,'Moteur central'!AF88,'Moteur ambitieux'!AF88)</f>
        <v>97167.8197411526</v>
      </c>
      <c r="AE26" s="32" t="n">
        <f aca="false">CHOOSE(scenario,'Moteur prudent'!AG88,'Moteur central'!AG88,'Moteur ambitieux'!AG88)</f>
        <v>88512.6446779015</v>
      </c>
      <c r="AF26" s="32" t="n">
        <f aca="false">CHOOSE(scenario,'Moteur prudent'!AH88,'Moteur central'!AH88,'Moteur ambitieux'!AH88)</f>
        <v>90742.8851120193</v>
      </c>
      <c r="AG26" s="32" t="n">
        <f aca="false">CHOOSE(scenario,'Moteur prudent'!AI88,'Moteur central'!AI88,'Moteur ambitieux'!AI88)</f>
        <v>96404.8529988359</v>
      </c>
      <c r="AH26" s="32" t="n">
        <f aca="false">CHOOSE(scenario,'Moteur prudent'!AJ88,'Moteur central'!AJ88,'Moteur ambitieux'!AJ88)</f>
        <v>74477.6336504032</v>
      </c>
      <c r="AI26" s="32" t="n">
        <f aca="false">CHOOSE(scenario,'Moteur prudent'!AK88,'Moteur central'!AK88,'Moteur ambitieux'!AK88)</f>
        <v>76900.3223256042</v>
      </c>
      <c r="AJ26" s="32" t="n">
        <f aca="false">CHOOSE(scenario,'Moteur prudent'!AL88,'Moteur central'!AL88,'Moteur ambitieux'!AL88)</f>
        <v>82504.9443388966</v>
      </c>
      <c r="AK26" s="32" t="n">
        <f aca="false">CHOOSE(scenario,'Moteur prudent'!AM88,'Moteur central'!AM88,'Moteur ambitieux'!AM88)</f>
        <v>82861.8400146224</v>
      </c>
      <c r="AM26" s="32" t="n">
        <f aca="false">CHOOSE(scenario,'Moteur prudent'!AO88,'Moteur central'!AO88,'Moteur ambitieux'!AO88)</f>
        <v>554942.442685467</v>
      </c>
      <c r="AN26" s="32" t="n">
        <f aca="false">CHOOSE(scenario,'Moteur prudent'!AP88,'Moteur central'!AP88,'Moteur ambitieux'!AP88)</f>
        <v>177078.80193871</v>
      </c>
      <c r="AO26" s="32" t="n">
        <f aca="false">CHOOSE(scenario,'Moteur prudent'!AQ88,'Moteur central'!AQ88,'Moteur ambitieux'!AQ88)</f>
        <v>82861.8400146224</v>
      </c>
    </row>
    <row r="27" customFormat="false" ht="15" hidden="false" customHeight="false" outlineLevel="0" collapsed="false">
      <c r="A27" s="10" t="s">
        <v>303</v>
      </c>
      <c r="B27" s="33" t="n">
        <f aca="false">CHOOSE(scenario,'Moteur prudent'!D89,'Moteur central'!D89,'Moteur ambitieux'!D89)</f>
        <v>-248433.333333333</v>
      </c>
      <c r="C27" s="33" t="n">
        <f aca="false">CHOOSE(scenario,'Moteur prudent'!E89,'Moteur central'!E89,'Moteur ambitieux'!E89)</f>
        <v>-267661.706666667</v>
      </c>
      <c r="D27" s="33" t="n">
        <f aca="false">CHOOSE(scenario,'Moteur prudent'!F89,'Moteur central'!F89,'Moteur ambitieux'!F89)</f>
        <v>-285588.01952</v>
      </c>
      <c r="E27" s="33" t="n">
        <f aca="false">CHOOSE(scenario,'Moteur prudent'!G89,'Moteur central'!G89,'Moteur ambitieux'!G89)</f>
        <v>-306915.934047467</v>
      </c>
      <c r="F27" s="33" t="n">
        <f aca="false">CHOOSE(scenario,'Moteur prudent'!H89,'Moteur central'!H89,'Moteur ambitieux'!H89)</f>
        <v>-326835.020658964</v>
      </c>
      <c r="G27" s="33" t="n">
        <f aca="false">CHOOSE(scenario,'Moteur prudent'!I89,'Moteur central'!I89,'Moteur ambitieux'!I89)</f>
        <v>-345264.514891612</v>
      </c>
      <c r="H27" s="33" t="n">
        <f aca="false">CHOOSE(scenario,'Moteur prudent'!J89,'Moteur central'!J89,'Moteur ambitieux'!J89)</f>
        <v>-362153.736950031</v>
      </c>
      <c r="I27" s="33" t="n">
        <f aca="false">CHOOSE(scenario,'Moteur prudent'!K89,'Moteur central'!K89,'Moteur ambitieux'!K89)</f>
        <v>-377895.785328265</v>
      </c>
      <c r="J27" s="33" t="n">
        <f aca="false">CHOOSE(scenario,'Moteur prudent'!L89,'Moteur central'!L89,'Moteur ambitieux'!L89)</f>
        <v>-395755.410304246</v>
      </c>
      <c r="K27" s="33" t="n">
        <f aca="false">CHOOSE(scenario,'Moteur prudent'!M89,'Moteur central'!M89,'Moteur ambitieux'!M89)</f>
        <v>-410575.124571878</v>
      </c>
      <c r="L27" s="33" t="n">
        <f aca="false">CHOOSE(scenario,'Moteur prudent'!N89,'Moteur central'!N89,'Moteur ambitieux'!N89)</f>
        <v>-423994.350774748</v>
      </c>
      <c r="M27" s="33" t="n">
        <f aca="false">CHOOSE(scenario,'Moteur prudent'!O89,'Moteur central'!O89,'Moteur ambitieux'!O89)</f>
        <v>-437567.084405045</v>
      </c>
      <c r="N27" s="33" t="n">
        <f aca="false">CHOOSE(scenario,'Moteur prudent'!P89,'Moteur central'!P89,'Moteur ambitieux'!P89)</f>
        <v>-455115.853395634</v>
      </c>
      <c r="O27" s="33" t="n">
        <f aca="false">CHOOSE(scenario,'Moteur prudent'!Q89,'Moteur central'!Q89,'Moteur ambitieux'!Q89)</f>
        <v>-477938.265294862</v>
      </c>
      <c r="P27" s="33" t="n">
        <f aca="false">CHOOSE(scenario,'Moteur prudent'!R89,'Moteur central'!R89,'Moteur ambitieux'!R89)</f>
        <v>-500794.177374583</v>
      </c>
      <c r="Q27" s="33" t="n">
        <f aca="false">CHOOSE(scenario,'Moteur prudent'!S89,'Moteur central'!S89,'Moteur ambitieux'!S89)</f>
        <v>-522306.901015016</v>
      </c>
      <c r="R27" s="33" t="n">
        <f aca="false">CHOOSE(scenario,'Moteur prudent'!T89,'Moteur central'!T89,'Moteur ambitieux'!T89)</f>
        <v>-541423.055033121</v>
      </c>
      <c r="S27" s="33" t="n">
        <f aca="false">CHOOSE(scenario,'Moteur prudent'!U89,'Moteur central'!U89,'Moteur ambitieux'!U89)</f>
        <v>-557491.990009138</v>
      </c>
      <c r="T27" s="33" t="n">
        <f aca="false">CHOOSE(scenario,'Moteur prudent'!V89,'Moteur central'!V89,'Moteur ambitieux'!V89)</f>
        <v>-567296.602030697</v>
      </c>
      <c r="U27" s="33" t="n">
        <f aca="false">CHOOSE(scenario,'Moteur prudent'!W89,'Moteur central'!W89,'Moteur ambitieux'!W89)</f>
        <v>-572617.167631463</v>
      </c>
      <c r="V27" s="33" t="n">
        <f aca="false">CHOOSE(scenario,'Moteur prudent'!X89,'Moteur central'!X89,'Moteur ambitieux'!X89)</f>
        <v>-594018.47360505</v>
      </c>
      <c r="W27" s="33" t="n">
        <f aca="false">CHOOSE(scenario,'Moteur prudent'!Y89,'Moteur central'!Y89,'Moteur ambitieux'!Y89)</f>
        <v>-600900.922677182</v>
      </c>
      <c r="X27" s="33" t="n">
        <f aca="false">CHOOSE(scenario,'Moteur prudent'!Z89,'Moteur central'!Z89,'Moteur ambitieux'!Z89)</f>
        <v>-605133.888862083</v>
      </c>
      <c r="Y27" s="33" t="n">
        <f aca="false">CHOOSE(scenario,'Moteur prudent'!AA89,'Moteur central'!AA89,'Moteur ambitieux'!AA89)</f>
        <v>-761333.590169031</v>
      </c>
      <c r="Z27" s="33" t="n">
        <f aca="false">CHOOSE(scenario,'Moteur prudent'!AB89,'Moteur central'!AB89,'Moteur ambitieux'!AB89)</f>
        <v>-767478.557613657</v>
      </c>
      <c r="AA27" s="33" t="n">
        <f aca="false">CHOOSE(scenario,'Moteur prudent'!AC89,'Moteur central'!AC89,'Moteur ambitieux'!AC89)</f>
        <v>-780468.891038128</v>
      </c>
      <c r="AB27" s="33" t="n">
        <f aca="false">CHOOSE(scenario,'Moteur prudent'!AD89,'Moteur central'!AD89,'Moteur ambitieux'!AD89)</f>
        <v>-798723.742247896</v>
      </c>
      <c r="AC27" s="33" t="n">
        <f aca="false">CHOOSE(scenario,'Moteur prudent'!AE89,'Moteur central'!AE89,'Moteur ambitieux'!AE89)</f>
        <v>-810177.236824782</v>
      </c>
      <c r="AD27" s="33" t="n">
        <f aca="false">CHOOSE(scenario,'Moteur prudent'!AF89,'Moteur central'!AF89,'Moteur ambitieux'!AF89)</f>
        <v>-818704.099457101</v>
      </c>
      <c r="AE27" s="33" t="n">
        <f aca="false">CHOOSE(scenario,'Moteur prudent'!AG89,'Moteur central'!AG89,'Moteur ambitieux'!AG89)</f>
        <v>-822851.179938454</v>
      </c>
      <c r="AF27" s="33" t="n">
        <f aca="false">CHOOSE(scenario,'Moteur prudent'!AH89,'Moteur central'!AH89,'Moteur ambitieux'!AH89)</f>
        <v>-816112.844922439</v>
      </c>
      <c r="AG27" s="33" t="n">
        <f aca="false">CHOOSE(scenario,'Moteur prudent'!AI89,'Moteur central'!AI89,'Moteur ambitieux'!AI89)</f>
        <v>-805942.782453725</v>
      </c>
      <c r="AH27" s="33" t="n">
        <f aca="false">CHOOSE(scenario,'Moteur prudent'!AJ89,'Moteur central'!AJ89,'Moteur ambitieux'!AJ89)</f>
        <v>-823361.90722026</v>
      </c>
      <c r="AI27" s="33" t="n">
        <f aca="false">CHOOSE(scenario,'Moteur prudent'!AK89,'Moteur central'!AK89,'Moteur ambitieux'!AK89)</f>
        <v>-816431.123963161</v>
      </c>
      <c r="AJ27" s="33" t="n">
        <f aca="false">CHOOSE(scenario,'Moteur prudent'!AL89,'Moteur central'!AL89,'Moteur ambitieux'!AL89)</f>
        <v>-806318.407367971</v>
      </c>
      <c r="AK27" s="33" t="n">
        <f aca="false">CHOOSE(scenario,'Moteur prudent'!AM89,'Moteur central'!AM89,'Moteur ambitieux'!AM89)</f>
        <v>-801453.417110348</v>
      </c>
      <c r="AM27" s="33" t="n">
        <f aca="false">CHOOSE(scenario,'Moteur prudent'!AO89,'Moteur central'!AO89,'Moteur ambitieux'!AO89)</f>
        <v>-437567.084405045</v>
      </c>
      <c r="AN27" s="33" t="n">
        <f aca="false">CHOOSE(scenario,'Moteur prudent'!AP89,'Moteur central'!AP89,'Moteur ambitieux'!AP89)</f>
        <v>-761333.590169031</v>
      </c>
      <c r="AO27" s="33" t="n">
        <f aca="false">CHOOSE(scenario,'Moteur prudent'!AQ89,'Moteur central'!AQ89,'Moteur ambitieux'!AQ89)</f>
        <v>-801453.417110348</v>
      </c>
    </row>
    <row r="28" customFormat="false" ht="15" hidden="false" customHeight="false" outlineLevel="0" collapsed="false">
      <c r="A28" s="5" t="s">
        <v>304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M28" s="42"/>
      <c r="AN28" s="42"/>
      <c r="AO28" s="42"/>
    </row>
    <row r="29" customFormat="false" ht="15" hidden="false" customHeight="false" outlineLevel="0" collapsed="false">
      <c r="A29" s="10" t="s">
        <v>224</v>
      </c>
      <c r="B29" s="33" t="n">
        <f aca="false">CHOOSE(scenario,'Moteur prudent'!D19,'Moteur central'!D19,'Moteur ambitieux'!D19)</f>
        <v>952.5</v>
      </c>
      <c r="C29" s="33" t="n">
        <f aca="false">CHOOSE(scenario,'Moteur prudent'!E19,'Moteur central'!E19,'Moteur ambitieux'!E19)</f>
        <v>2846.07</v>
      </c>
      <c r="D29" s="33" t="n">
        <f aca="false">CHOOSE(scenario,'Moteur prudent'!F19,'Moteur central'!F19,'Moteur ambitieux'!F19)</f>
        <v>4939.76364</v>
      </c>
      <c r="E29" s="33" t="n">
        <f aca="false">CHOOSE(scenario,'Moteur prudent'!G19,'Moteur central'!G19,'Moteur ambitieux'!G19)</f>
        <v>6999.555405216</v>
      </c>
      <c r="F29" s="33" t="n">
        <f aca="false">CHOOSE(scenario,'Moteur prudent'!H19,'Moteur central'!H19,'Moteur ambitieux'!H19)</f>
        <v>9184.43089297728</v>
      </c>
      <c r="G29" s="33" t="n">
        <f aca="false">CHOOSE(scenario,'Moteur prudent'!I19,'Moteur central'!I19,'Moteur ambitieux'!I19)</f>
        <v>11448.2334330539</v>
      </c>
      <c r="H29" s="33" t="n">
        <f aca="false">CHOOSE(scenario,'Moteur prudent'!J19,'Moteur central'!J19,'Moteur ambitieux'!J19)</f>
        <v>13110.3071095944</v>
      </c>
      <c r="I29" s="33" t="n">
        <f aca="false">CHOOSE(scenario,'Moteur prudent'!K19,'Moteur central'!K19,'Moteur ambitieux'!K19)</f>
        <v>11792.3754909816</v>
      </c>
      <c r="J29" s="33" t="n">
        <f aca="false">CHOOSE(scenario,'Moteur prudent'!L19,'Moteur central'!L19,'Moteur ambitieux'!L19)</f>
        <v>16942.5276231879</v>
      </c>
      <c r="K29" s="33" t="n">
        <f aca="false">CHOOSE(scenario,'Moteur prudent'!M19,'Moteur central'!M19,'Moteur ambitieux'!M19)</f>
        <v>18499.1948348744</v>
      </c>
      <c r="L29" s="33" t="n">
        <f aca="false">CHOOSE(scenario,'Moteur prudent'!N19,'Moteur central'!N19,'Moteur ambitieux'!N19)</f>
        <v>19790.521215826</v>
      </c>
      <c r="M29" s="33" t="n">
        <f aca="false">CHOOSE(scenario,'Moteur prudent'!O19,'Moteur central'!O19,'Moteur ambitieux'!O19)</f>
        <v>21936.8716823411</v>
      </c>
      <c r="N29" s="33" t="n">
        <f aca="false">CHOOSE(scenario,'Moteur prudent'!P19,'Moteur central'!P19,'Moteur ambitieux'!P19)</f>
        <v>23650.2624773833</v>
      </c>
      <c r="O29" s="33" t="n">
        <f aca="false">CHOOSE(scenario,'Moteur prudent'!Q19,'Moteur central'!Q19,'Moteur ambitieux'!Q19)</f>
        <v>27252.6593276547</v>
      </c>
      <c r="P29" s="33" t="n">
        <f aca="false">CHOOSE(scenario,'Moteur prudent'!R19,'Moteur central'!R19,'Moteur ambitieux'!R19)</f>
        <v>32267.5043015051</v>
      </c>
      <c r="Q29" s="33" t="n">
        <f aca="false">CHOOSE(scenario,'Moteur prudent'!S19,'Moteur central'!S19,'Moteur ambitieux'!S19)</f>
        <v>36598.8177551481</v>
      </c>
      <c r="R29" s="33" t="n">
        <f aca="false">CHOOSE(scenario,'Moteur prudent'!T19,'Moteur central'!T19,'Moteur ambitieux'!T19)</f>
        <v>41374.4401768833</v>
      </c>
      <c r="S29" s="33" t="n">
        <f aca="false">CHOOSE(scenario,'Moteur prudent'!U19,'Moteur central'!U19,'Moteur ambitieux'!U19)</f>
        <v>46300.2163107401</v>
      </c>
      <c r="T29" s="33" t="n">
        <f aca="false">CHOOSE(scenario,'Moteur prudent'!V19,'Moteur central'!V19,'Moteur ambitieux'!V19)</f>
        <v>48843.1707320236</v>
      </c>
      <c r="U29" s="33" t="n">
        <f aca="false">CHOOSE(scenario,'Moteur prudent'!W19,'Moteur central'!W19,'Moteur ambitieux'!W19)</f>
        <v>41177.2614566409</v>
      </c>
      <c r="V29" s="33" t="n">
        <f aca="false">CHOOSE(scenario,'Moteur prudent'!X19,'Moteur central'!X19,'Moteur ambitieux'!X19)</f>
        <v>56133.7272510404</v>
      </c>
      <c r="W29" s="33" t="n">
        <f aca="false">CHOOSE(scenario,'Moteur prudent'!Y19,'Moteur central'!Y19,'Moteur ambitieux'!Y19)</f>
        <v>58682.4976746922</v>
      </c>
      <c r="X29" s="33" t="n">
        <f aca="false">CHOOSE(scenario,'Moteur prudent'!Z19,'Moteur central'!Z19,'Moteur ambitieux'!Z19)</f>
        <v>60520.1288758803</v>
      </c>
      <c r="Y29" s="33" t="n">
        <f aca="false">CHOOSE(scenario,'Moteur prudent'!AA19,'Moteur central'!AA19,'Moteur ambitieux'!AA19)</f>
        <v>65016.1147698998</v>
      </c>
      <c r="Z29" s="33" t="n">
        <f aca="false">CHOOSE(scenario,'Moteur prudent'!AB19,'Moteur central'!AB19,'Moteur ambitieux'!AB19)</f>
        <v>66014.3564493745</v>
      </c>
      <c r="AA29" s="33" t="n">
        <f aca="false">CHOOSE(scenario,'Moteur prudent'!AC19,'Moteur central'!AC19,'Moteur ambitieux'!AC19)</f>
        <v>70375.2853719819</v>
      </c>
      <c r="AB29" s="33" t="n">
        <f aca="false">CHOOSE(scenario,'Moteur prudent'!AD19,'Moteur central'!AD19,'Moteur ambitieux'!AD19)</f>
        <v>78212.2555796844</v>
      </c>
      <c r="AC29" s="33" t="n">
        <f aca="false">CHOOSE(scenario,'Moteur prudent'!AE19,'Moteur central'!AE19,'Moteur ambitieux'!AE19)</f>
        <v>84162.0575379203</v>
      </c>
      <c r="AD29" s="33" t="n">
        <f aca="false">CHOOSE(scenario,'Moteur prudent'!AF19,'Moteur central'!AF19,'Moteur ambitieux'!AF19)</f>
        <v>91002.9602891999</v>
      </c>
      <c r="AE29" s="33" t="n">
        <f aca="false">CHOOSE(scenario,'Moteur prudent'!AG19,'Moteur central'!AG19,'Moteur ambitieux'!AG19)</f>
        <v>98025.6335930434</v>
      </c>
      <c r="AF29" s="33" t="n">
        <f aca="false">CHOOSE(scenario,'Moteur prudent'!AH19,'Moteur central'!AH19,'Moteur ambitieux'!AH19)</f>
        <v>100044.330367741</v>
      </c>
      <c r="AG29" s="33" t="n">
        <f aca="false">CHOOSE(scenario,'Moteur prudent'!AI19,'Moteur central'!AI19,'Moteur ambitieux'!AI19)</f>
        <v>81933.3449033291</v>
      </c>
      <c r="AH29" s="33" t="n">
        <f aca="false">CHOOSE(scenario,'Moteur prudent'!AJ19,'Moteur central'!AJ19,'Moteur ambitieux'!AJ19)</f>
        <v>108870.009521688</v>
      </c>
      <c r="AI29" s="33" t="n">
        <f aca="false">CHOOSE(scenario,'Moteur prudent'!AK19,'Moteur central'!AK19,'Moteur ambitieux'!AK19)</f>
        <v>111248.983658235</v>
      </c>
      <c r="AJ29" s="33" t="n">
        <f aca="false">CHOOSE(scenario,'Moteur prudent'!AL19,'Moteur central'!AL19,'Moteur ambitieux'!AL19)</f>
        <v>112413.842125232</v>
      </c>
      <c r="AK29" s="33" t="n">
        <f aca="false">CHOOSE(scenario,'Moteur prudent'!AM19,'Moteur central'!AM19,'Moteur ambitieux'!AM19)</f>
        <v>118562.990473619</v>
      </c>
      <c r="AM29" s="33" t="n">
        <f aca="false">CHOOSE(scenario,'Moteur prudent'!AO19,'Moteur central'!AO19,'Moteur ambitieux'!AO19)</f>
        <v>138442.351328053</v>
      </c>
      <c r="AN29" s="33" t="n">
        <f aca="false">CHOOSE(scenario,'Moteur prudent'!AP19,'Moteur central'!AP19,'Moteur ambitieux'!AP19)</f>
        <v>537816.801109492</v>
      </c>
      <c r="AO29" s="33" t="n">
        <f aca="false">CHOOSE(scenario,'Moteur prudent'!AQ19,'Moteur central'!AQ19,'Moteur ambitieux'!AQ19)</f>
        <v>1120866.04987105</v>
      </c>
    </row>
    <row r="30" customFormat="false" ht="15" hidden="false" customHeight="false" outlineLevel="0" collapsed="false">
      <c r="A30" s="10" t="s">
        <v>305</v>
      </c>
      <c r="B30" s="33" t="n">
        <f aca="false">CHOOSE(scenario,'Moteur prudent'!D48,'Moteur central'!D48,'Moteur ambitieux'!D48)</f>
        <v>-19228.3733333333</v>
      </c>
      <c r="C30" s="33" t="n">
        <f aca="false">CHOOSE(scenario,'Moteur prudent'!E48,'Moteur central'!E48,'Moteur ambitieux'!E48)</f>
        <v>-17926.3128533333</v>
      </c>
      <c r="D30" s="33" t="n">
        <f aca="false">CHOOSE(scenario,'Moteur prudent'!F48,'Moteur central'!F48,'Moteur ambitieux'!F48)</f>
        <v>-16494.5811941333</v>
      </c>
      <c r="E30" s="33" t="n">
        <f aca="false">CHOOSE(scenario,'Moteur prudent'!G48,'Moteur central'!G48,'Moteur ambitieux'!G48)</f>
        <v>-19919.0866114969</v>
      </c>
      <c r="F30" s="33" t="n">
        <f aca="false">CHOOSE(scenario,'Moteur prudent'!H48,'Moteur central'!H48,'Moteur ambitieux'!H48)</f>
        <v>-18429.4942326481</v>
      </c>
      <c r="G30" s="33" t="n">
        <f aca="false">CHOOSE(scenario,'Moteur prudent'!I48,'Moteur central'!I48,'Moteur ambitieux'!I48)</f>
        <v>-16889.2220584197</v>
      </c>
      <c r="H30" s="33" t="n">
        <f aca="false">CHOOSE(scenario,'Moteur prudent'!J48,'Moteur central'!J48,'Moteur ambitieux'!J48)</f>
        <v>-15742.0483782341</v>
      </c>
      <c r="I30" s="33" t="n">
        <f aca="false">CHOOSE(scenario,'Moteur prudent'!K48,'Moteur central'!K48,'Moteur ambitieux'!K48)</f>
        <v>-16538.6001702054</v>
      </c>
      <c r="J30" s="33" t="n">
        <f aca="false">CHOOSE(scenario,'Moteur prudent'!L48,'Moteur central'!L48,'Moteur ambitieux'!L48)</f>
        <v>-13118.7142321229</v>
      </c>
      <c r="K30" s="33" t="n">
        <f aca="false">CHOOSE(scenario,'Moteur prudent'!M48,'Moteur central'!M48,'Moteur ambitieux'!M48)</f>
        <v>-12042.5243031941</v>
      </c>
      <c r="L30" s="33" t="n">
        <f aca="false">CHOOSE(scenario,'Moteur prudent'!N48,'Moteur central'!N48,'Moteur ambitieux'!N48)</f>
        <v>-11140.0715107872</v>
      </c>
      <c r="M30" s="33" t="n">
        <f aca="false">CHOOSE(scenario,'Moteur prudent'!O48,'Moteur central'!O48,'Moteur ambitieux'!O48)</f>
        <v>-9680.8691104973</v>
      </c>
      <c r="N30" s="33" t="n">
        <f aca="false">CHOOSE(scenario,'Moteur prudent'!P48,'Moteur central'!P48,'Moteur ambitieux'!P48)</f>
        <v>-15778.5580974415</v>
      </c>
      <c r="O30" s="33" t="n">
        <f aca="false">CHOOSE(scenario,'Moteur prudent'!Q48,'Moteur central'!Q48,'Moteur ambitieux'!Q48)</f>
        <v>-17126.4706002722</v>
      </c>
      <c r="P30" s="33" t="n">
        <f aca="false">CHOOSE(scenario,'Moteur prudent'!R48,'Moteur central'!R48,'Moteur ambitieux'!R48)</f>
        <v>-13730.0068235389</v>
      </c>
      <c r="Q30" s="33" t="n">
        <f aca="false">CHOOSE(scenario,'Moteur prudent'!S48,'Moteur central'!S48,'Moteur ambitieux'!S48)</f>
        <v>-13670.7270162262</v>
      </c>
      <c r="R30" s="33" t="n">
        <f aca="false">CHOOSE(scenario,'Moteur prudent'!T48,'Moteur central'!T48,'Moteur ambitieux'!T48)</f>
        <v>-10433.2609229439</v>
      </c>
      <c r="S30" s="33" t="n">
        <f aca="false">CHOOSE(scenario,'Moteur prudent'!U48,'Moteur central'!U48,'Moteur ambitieux'!U48)</f>
        <v>-7099.37973264997</v>
      </c>
      <c r="T30" s="33" t="n">
        <f aca="false">CHOOSE(scenario,'Moteur prudent'!V48,'Moteur central'!V48,'Moteur ambitieux'!V48)</f>
        <v>-5320.56560076612</v>
      </c>
      <c r="U30" s="33" t="n">
        <f aca="false">CHOOSE(scenario,'Moteur prudent'!W48,'Moteur central'!W48,'Moteur ambitieux'!W48)</f>
        <v>-10199.3802932991</v>
      </c>
      <c r="V30" s="33" t="n">
        <f aca="false">CHOOSE(scenario,'Moteur prudent'!X48,'Moteur central'!X48,'Moteur ambitieux'!X48)</f>
        <v>-4154.83873819425</v>
      </c>
      <c r="W30" s="33" t="n">
        <f aca="false">CHOOSE(scenario,'Moteur prudent'!Y48,'Moteur central'!Y48,'Moteur ambitieux'!Y48)</f>
        <v>-2376.52967510281</v>
      </c>
      <c r="X30" s="33" t="n">
        <f aca="false">CHOOSE(scenario,'Moteur prudent'!Z48,'Moteur central'!Z48,'Moteur ambitieux'!Z48)</f>
        <v>-1063.28151402013</v>
      </c>
      <c r="Y30" s="33" t="n">
        <f aca="false">CHOOSE(scenario,'Moteur prudent'!AA48,'Moteur central'!AA48,'Moteur ambitieux'!AA48)</f>
        <v>1369.83255537366</v>
      </c>
      <c r="Z30" s="33" t="n">
        <f aca="false">CHOOSE(scenario,'Moteur prudent'!AB48,'Moteur central'!AB48,'Moteur ambitieux'!AB48)</f>
        <v>-6072.73307077975</v>
      </c>
      <c r="AA30" s="33" t="n">
        <f aca="false">CHOOSE(scenario,'Moteur prudent'!AC48,'Moteur central'!AC48,'Moteur ambitieux'!AC48)</f>
        <v>-6021.8621971304</v>
      </c>
      <c r="AB30" s="33" t="n">
        <f aca="false">CHOOSE(scenario,'Moteur prudent'!AD48,'Moteur central'!AD48,'Moteur ambitieux'!AD48)</f>
        <v>-4660.17654819246</v>
      </c>
      <c r="AC30" s="33" t="n">
        <f aca="false">CHOOSE(scenario,'Moteur prudent'!AE48,'Moteur central'!AE48,'Moteur ambitieux'!AE48)</f>
        <v>-629.266370788897</v>
      </c>
      <c r="AD30" s="33" t="n">
        <f aca="false">CHOOSE(scenario,'Moteur prudent'!AF48,'Moteur central'!AF48,'Moteur ambitieux'!AF48)</f>
        <v>3980.82185207156</v>
      </c>
      <c r="AE30" s="33" t="n">
        <f aca="false">CHOOSE(scenario,'Moteur prudent'!AG48,'Moteur central'!AG48,'Moteur ambitieux'!AG48)</f>
        <v>8707.62663965536</v>
      </c>
      <c r="AF30" s="33" t="n">
        <f aca="false">CHOOSE(scenario,'Moteur prudent'!AH48,'Moteur central'!AH48,'Moteur ambitieux'!AH48)</f>
        <v>10170.0624687142</v>
      </c>
      <c r="AG30" s="33" t="n">
        <f aca="false">CHOOSE(scenario,'Moteur prudent'!AI48,'Moteur central'!AI48,'Moteur ambitieux'!AI48)</f>
        <v>-1493.80946850964</v>
      </c>
      <c r="AH30" s="33" t="n">
        <f aca="false">CHOOSE(scenario,'Moteur prudent'!AJ48,'Moteur central'!AJ48,'Moteur ambitieux'!AJ48)</f>
        <v>9362.3525612061</v>
      </c>
      <c r="AI30" s="33" t="n">
        <f aca="false">CHOOSE(scenario,'Moteur prudent'!AK48,'Moteur central'!AK48,'Moteur ambitieux'!AK48)</f>
        <v>11054.4873163978</v>
      </c>
      <c r="AJ30" s="33" t="n">
        <f aca="false">CHOOSE(scenario,'Moteur prudent'!AL48,'Moteur central'!AL48,'Moteur ambitieux'!AL48)</f>
        <v>11953.3261316252</v>
      </c>
      <c r="AK30" s="33" t="n">
        <f aca="false">CHOOSE(scenario,'Moteur prudent'!AM48,'Moteur central'!AM48,'Moteur ambitieux'!AM48)</f>
        <v>16100.2497363818</v>
      </c>
      <c r="AM30" s="33" t="n">
        <f aca="false">CHOOSE(scenario,'Moteur prudent'!AO48,'Moteur central'!AO48,'Moteur ambitieux'!AO48)</f>
        <v>-187149.897988406</v>
      </c>
      <c r="AN30" s="33" t="n">
        <f aca="false">CHOOSE(scenario,'Moteur prudent'!AP48,'Moteur central'!AP48,'Moteur ambitieux'!AP48)</f>
        <v>-99583.1664590814</v>
      </c>
      <c r="AO30" s="33" t="n">
        <f aca="false">CHOOSE(scenario,'Moteur prudent'!AQ48,'Moteur central'!AQ48,'Moteur ambitieux'!AQ48)</f>
        <v>52451.0790506509</v>
      </c>
    </row>
    <row r="31" customFormat="false" ht="15" hidden="false" customHeight="false" outlineLevel="0" collapsed="false">
      <c r="A31" s="10" t="s">
        <v>306</v>
      </c>
      <c r="B31" s="33" t="n">
        <f aca="false">CHOOSE(scenario,'Moteur prudent'!D79,'Moteur central'!D79,'Moteur ambitieux'!D79)</f>
        <v>-8395.04</v>
      </c>
      <c r="C31" s="33" t="n">
        <f aca="false">CHOOSE(scenario,'Moteur prudent'!E79,'Moteur central'!E79,'Moteur ambitieux'!E79)</f>
        <v>1302.06048</v>
      </c>
      <c r="D31" s="33" t="n">
        <f aca="false">CHOOSE(scenario,'Moteur prudent'!F79,'Moteur central'!F79,'Moteur ambitieux'!F79)</f>
        <v>1431.7316592</v>
      </c>
      <c r="E31" s="33" t="n">
        <f aca="false">CHOOSE(scenario,'Moteur prudent'!G79,'Moteur central'!G79,'Moteur ambitieux'!G79)</f>
        <v>1408.82791596979</v>
      </c>
      <c r="F31" s="33" t="n">
        <f aca="false">CHOOSE(scenario,'Moteur prudent'!H79,'Moteur central'!H79,'Moteur ambitieux'!H79)</f>
        <v>1489.59237884873</v>
      </c>
      <c r="G31" s="33" t="n">
        <f aca="false">CHOOSE(scenario,'Moteur prudent'!I79,'Moteur central'!I79,'Moteur ambitieux'!I79)</f>
        <v>1540.27217422841</v>
      </c>
      <c r="H31" s="33" t="n">
        <f aca="false">CHOOSE(scenario,'Moteur prudent'!J79,'Moteur central'!J79,'Moteur ambitieux'!J79)</f>
        <v>1147.17368018564</v>
      </c>
      <c r="I31" s="33" t="n">
        <f aca="false">CHOOSE(scenario,'Moteur prudent'!K79,'Moteur central'!K79,'Moteur ambitieux'!K79)</f>
        <v>-796.551791971284</v>
      </c>
      <c r="J31" s="33" t="n">
        <f aca="false">CHOOSE(scenario,'Moteur prudent'!L79,'Moteur central'!L79,'Moteur ambitieux'!L79)</f>
        <v>3419.88593808243</v>
      </c>
      <c r="K31" s="33" t="n">
        <f aca="false">CHOOSE(scenario,'Moteur prudent'!M79,'Moteur central'!M79,'Moteur ambitieux'!M79)</f>
        <v>1076.18992892888</v>
      </c>
      <c r="L31" s="33" t="n">
        <f aca="false">CHOOSE(scenario,'Moteur prudent'!N79,'Moteur central'!N79,'Moteur ambitieux'!N79)</f>
        <v>902.45279240685</v>
      </c>
      <c r="M31" s="33" t="n">
        <f aca="false">CHOOSE(scenario,'Moteur prudent'!O79,'Moteur central'!O79,'Moteur ambitieux'!O79)</f>
        <v>1459.20240028992</v>
      </c>
      <c r="N31" s="33" t="n">
        <f aca="false">CHOOSE(scenario,'Moteur prudent'!P79,'Moteur central'!P79,'Moteur ambitieux'!P79)</f>
        <v>535.64434638915</v>
      </c>
      <c r="O31" s="33" t="n">
        <f aca="false">CHOOSE(scenario,'Moteur prudent'!Q79,'Moteur central'!Q79,'Moteur ambitieux'!Q79)</f>
        <v>1712.0874971693</v>
      </c>
      <c r="P31" s="33" t="n">
        <f aca="false">CHOOSE(scenario,'Moteur prudent'!R79,'Moteur central'!R79,'Moteur ambitieux'!R79)</f>
        <v>3396.46377673324</v>
      </c>
      <c r="Q31" s="33" t="n">
        <f aca="false">CHOOSE(scenario,'Moteur prudent'!S79,'Moteur central'!S79,'Moteur ambitieux'!S79)</f>
        <v>2949.27980731272</v>
      </c>
      <c r="R31" s="33" t="n">
        <f aca="false">CHOOSE(scenario,'Moteur prudent'!T79,'Moteur central'!T79,'Moteur ambitieux'!T79)</f>
        <v>3237.46609328235</v>
      </c>
      <c r="S31" s="33" t="n">
        <f aca="false">CHOOSE(scenario,'Moteur prudent'!U79,'Moteur central'!U79,'Moteur ambitieux'!U79)</f>
        <v>3333.88119029391</v>
      </c>
      <c r="T31" s="33" t="n">
        <f aca="false">CHOOSE(scenario,'Moteur prudent'!V79,'Moteur central'!V79,'Moteur ambitieux'!V79)</f>
        <v>1778.81413188385</v>
      </c>
      <c r="U31" s="33" t="n">
        <f aca="false">CHOOSE(scenario,'Moteur prudent'!W79,'Moteur central'!W79,'Moteur ambitieux'!W79)</f>
        <v>-4878.81469253298</v>
      </c>
      <c r="V31" s="33" t="n">
        <f aca="false">CHOOSE(scenario,'Moteur prudent'!X79,'Moteur central'!X79,'Moteur ambitieux'!X79)</f>
        <v>9104.54155510485</v>
      </c>
      <c r="W31" s="33" t="n">
        <f aca="false">CHOOSE(scenario,'Moteur prudent'!Y79,'Moteur central'!Y79,'Moteur ambitieux'!Y79)</f>
        <v>1778.30906309143</v>
      </c>
      <c r="X31" s="33" t="n">
        <f aca="false">CHOOSE(scenario,'Moteur prudent'!Z79,'Moteur central'!Z79,'Moteur ambitieux'!Z79)</f>
        <v>1313.24816108268</v>
      </c>
      <c r="Y31" s="33" t="n">
        <f aca="false">CHOOSE(scenario,'Moteur prudent'!AA79,'Moteur central'!AA79,'Moteur ambitieux'!AA79)</f>
        <v>2433.11406939379</v>
      </c>
      <c r="Z31" s="33" t="n">
        <f aca="false">CHOOSE(scenario,'Moteur prudent'!AB79,'Moteur central'!AB79,'Moteur ambitieux'!AB79)</f>
        <v>72.2343738465934</v>
      </c>
      <c r="AA31" s="33" t="n">
        <f aca="false">CHOOSE(scenario,'Moteur prudent'!AC79,'Moteur central'!AC79,'Moteur ambitieux'!AC79)</f>
        <v>2998.67087364935</v>
      </c>
      <c r="AB31" s="33" t="n">
        <f aca="false">CHOOSE(scenario,'Moteur prudent'!AD79,'Moteur central'!AD79,'Moteur ambitieux'!AD79)</f>
        <v>4482.88564893794</v>
      </c>
      <c r="AC31" s="33" t="n">
        <f aca="false">CHOOSE(scenario,'Moteur prudent'!AE79,'Moteur central'!AE79,'Moteur ambitieux'!AE79)</f>
        <v>4030.91017740357</v>
      </c>
      <c r="AD31" s="33" t="n">
        <f aca="false">CHOOSE(scenario,'Moteur prudent'!AF79,'Moteur central'!AF79,'Moteur ambitieux'!AF79)</f>
        <v>4610.08822286046</v>
      </c>
      <c r="AE31" s="33" t="n">
        <f aca="false">CHOOSE(scenario,'Moteur prudent'!AG79,'Moteur central'!AG79,'Moteur ambitieux'!AG79)</f>
        <v>4726.8047875838</v>
      </c>
      <c r="AF31" s="33" t="n">
        <f aca="false">CHOOSE(scenario,'Moteur prudent'!AH79,'Moteur central'!AH79,'Moteur ambitieux'!AH79)</f>
        <v>1462.4358290588</v>
      </c>
      <c r="AG31" s="33" t="n">
        <f aca="false">CHOOSE(scenario,'Moteur prudent'!AI79,'Moteur central'!AI79,'Moteur ambitieux'!AI79)</f>
        <v>-11663.8719372238</v>
      </c>
      <c r="AH31" s="33" t="n">
        <f aca="false">CHOOSE(scenario,'Moteur prudent'!AJ79,'Moteur central'!AJ79,'Moteur ambitieux'!AJ79)</f>
        <v>16925.1620297158</v>
      </c>
      <c r="AI31" s="33" t="n">
        <f aca="false">CHOOSE(scenario,'Moteur prudent'!AK79,'Moteur central'!AK79,'Moteur ambitieux'!AK79)</f>
        <v>1692.13475519169</v>
      </c>
      <c r="AJ31" s="33" t="n">
        <f aca="false">CHOOSE(scenario,'Moteur prudent'!AL79,'Moteur central'!AL79,'Moteur ambitieux'!AL79)</f>
        <v>898.838815227413</v>
      </c>
      <c r="AK31" s="33" t="n">
        <f aca="false">CHOOSE(scenario,'Moteur prudent'!AM79,'Moteur central'!AM79,'Moteur ambitieux'!AM79)</f>
        <v>4146.92360475664</v>
      </c>
      <c r="AM31" s="33" t="n">
        <f aca="false">CHOOSE(scenario,'Moteur prudent'!AO79,'Moteur central'!AO79,'Moteur ambitieux'!AO79)</f>
        <v>5985.79755616937</v>
      </c>
      <c r="AN31" s="33" t="n">
        <f aca="false">CHOOSE(scenario,'Moteur prudent'!AP79,'Moteur central'!AP79,'Moteur ambitieux'!AP79)</f>
        <v>26694.0349992043</v>
      </c>
      <c r="AO31" s="33" t="n">
        <f aca="false">CHOOSE(scenario,'Moteur prudent'!AQ79,'Moteur central'!AQ79,'Moteur ambitieux'!AQ79)</f>
        <v>34383.2171810082</v>
      </c>
    </row>
    <row r="33" customFormat="false" ht="15" hidden="false" customHeight="false" outlineLevel="0" collapsed="false">
      <c r="A33" s="2" t="s">
        <v>307</v>
      </c>
    </row>
  </sheetData>
  <conditionalFormatting sqref="B26:AK26">
    <cfRule type="cellIs" priority="2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tru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0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308</v>
      </c>
    </row>
    <row r="2" customFormat="false" ht="15" hidden="false" customHeight="false" outlineLevel="0" collapsed="false">
      <c r="A2" s="2" t="s">
        <v>309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4" customFormat="false" ht="15" hidden="false" customHeight="false" outlineLevel="0" collapsed="false">
      <c r="A4" s="11" t="str">
        <f aca="false">"Scénario affiché : "&amp;CHOOSE(scenario,"prudent","central","ambitieux")</f>
        <v>Scénario affiché : central</v>
      </c>
    </row>
    <row r="6" customFormat="false" ht="15" hidden="false" customHeight="false" outlineLevel="0" collapsed="false">
      <c r="A6" s="14" t="s">
        <v>259</v>
      </c>
      <c r="B6" s="31" t="n">
        <f aca="false">annee_debut+0</f>
        <v>2027</v>
      </c>
      <c r="C6" s="31" t="n">
        <f aca="false">annee_debut+1</f>
        <v>2028</v>
      </c>
      <c r="D6" s="31" t="n">
        <f aca="false">annee_debut+2</f>
        <v>2029</v>
      </c>
    </row>
    <row r="7" customFormat="false" ht="15" hidden="false" customHeight="false" outlineLevel="0" collapsed="false">
      <c r="A7" s="5" t="s">
        <v>310</v>
      </c>
      <c r="B7" s="42"/>
      <c r="C7" s="42"/>
      <c r="D7" s="42"/>
    </row>
    <row r="8" customFormat="false" ht="15" hidden="false" customHeight="false" outlineLevel="0" collapsed="false">
      <c r="A8" s="10" t="s">
        <v>228</v>
      </c>
      <c r="B8" s="33" t="n">
        <f aca="false">CHOOSE(scenario,'Moteur prudent'!AO75,'Moteur central'!AO75,'Moteur ambitieux'!AO75)</f>
        <v>-236483.48166902</v>
      </c>
      <c r="C8" s="33" t="n">
        <f aca="false">CHOOSE(scenario,'Moteur prudent'!AP75,'Moteur central'!AP75,'Moteur ambitieux'!AP75)</f>
        <v>-167350.176805374</v>
      </c>
      <c r="D8" s="33" t="n">
        <f aca="false">CHOOSE(scenario,'Moteur prudent'!AQ75,'Moteur central'!AQ75,'Moteur ambitieux'!AQ75)</f>
        <v>-51471.8431529377</v>
      </c>
    </row>
    <row r="9" customFormat="false" ht="15" hidden="false" customHeight="false" outlineLevel="0" collapsed="false">
      <c r="A9" s="10" t="s">
        <v>269</v>
      </c>
      <c r="B9" s="33" t="n">
        <f aca="false">CHOOSE(scenario,'Moteur prudent'!AO64,'Moteur central'!AO64,'Moteur ambitieux'!AO64)</f>
        <v>33582.3377754994</v>
      </c>
      <c r="C9" s="33" t="n">
        <f aca="false">CHOOSE(scenario,'Moteur prudent'!AP64,'Moteur central'!AP64,'Moteur ambitieux'!AP64)</f>
        <v>40417.6061674641</v>
      </c>
      <c r="D9" s="33" t="n">
        <f aca="false">CHOOSE(scenario,'Moteur prudent'!AQ64,'Moteur central'!AQ64,'Moteur ambitieux'!AQ64)</f>
        <v>66712.0350850929</v>
      </c>
    </row>
    <row r="10" customFormat="false" ht="15" hidden="false" customHeight="false" outlineLevel="0" collapsed="false">
      <c r="A10" s="10" t="s">
        <v>311</v>
      </c>
      <c r="B10" s="33" t="n">
        <f aca="false">CHOOSE(scenario,'Moteur prudent'!AO62,'Moteur central'!AO62,'Moteur ambitieux'!AO62)</f>
        <v>6814.88085896864</v>
      </c>
      <c r="C10" s="33" t="n">
        <f aca="false">CHOOSE(scenario,'Moteur prudent'!AP62,'Moteur central'!AP62,'Moteur ambitieux'!AP62)</f>
        <v>19224.8338518364</v>
      </c>
      <c r="D10" s="33" t="n">
        <f aca="false">CHOOSE(scenario,'Moteur prudent'!AQ62,'Moteur central'!AQ62,'Moteur ambitieux'!AQ62)</f>
        <v>31198.2883684571</v>
      </c>
    </row>
    <row r="11" customFormat="false" ht="15" hidden="false" customHeight="false" outlineLevel="0" collapsed="false">
      <c r="A11" s="11" t="s">
        <v>310</v>
      </c>
      <c r="B11" s="44" t="n">
        <f aca="false">B8+B9+B10</f>
        <v>-196086.263034552</v>
      </c>
      <c r="C11" s="44" t="n">
        <f aca="false">C8+C9+C10</f>
        <v>-107707.736786074</v>
      </c>
      <c r="D11" s="44" t="n">
        <f aca="false">D8+D9+D10</f>
        <v>46438.4803006122</v>
      </c>
    </row>
    <row r="12" customFormat="false" ht="15" hidden="false" customHeight="false" outlineLevel="0" collapsed="false">
      <c r="A12" s="5" t="s">
        <v>312</v>
      </c>
      <c r="B12" s="42"/>
      <c r="C12" s="42"/>
      <c r="D12" s="42"/>
    </row>
    <row r="13" customFormat="false" ht="15" hidden="false" customHeight="false" outlineLevel="0" collapsed="false">
      <c r="A13" s="10" t="s">
        <v>229</v>
      </c>
      <c r="B13" s="33" t="n">
        <f aca="false">CHOOSE(scenario,'Moteur prudent'!AO56,'Moteur central'!AO56,'Moteur ambitieux'!AO56)</f>
        <v>244431.38886047</v>
      </c>
      <c r="C13" s="33" t="n">
        <f aca="false">CHOOSE(scenario,'Moteur prudent'!AP56,'Moteur central'!AP56,'Moteur ambitieux'!AP56)</f>
        <v>197489.3043057</v>
      </c>
      <c r="D13" s="33" t="n">
        <f aca="false">CHOOSE(scenario,'Moteur prudent'!AQ56,'Moteur central'!AQ56,'Moteur ambitieux'!AQ56)</f>
        <v>58187.6888109595</v>
      </c>
    </row>
    <row r="14" customFormat="false" ht="15" hidden="false" customHeight="false" outlineLevel="0" collapsed="false">
      <c r="A14" s="10" t="s">
        <v>313</v>
      </c>
      <c r="B14" s="33" t="n">
        <f aca="false">CHOOSE(scenario,'Moteur prudent'!AO79,'Moteur central'!AO79,'Moteur ambitieux'!AO79)</f>
        <v>5985.79755616937</v>
      </c>
      <c r="C14" s="33" t="n">
        <f aca="false">CHOOSE(scenario,'Moteur prudent'!AP79,'Moteur central'!AP79,'Moteur ambitieux'!AP79)</f>
        <v>26694.0349992043</v>
      </c>
      <c r="D14" s="33" t="n">
        <f aca="false">CHOOSE(scenario,'Moteur prudent'!AQ79,'Moteur central'!AQ79,'Moteur ambitieux'!AQ79)</f>
        <v>34383.2171810082</v>
      </c>
    </row>
    <row r="15" customFormat="false" ht="15" hidden="false" customHeight="false" outlineLevel="0" collapsed="false">
      <c r="A15" s="10" t="s">
        <v>314</v>
      </c>
      <c r="B15" s="33" t="n">
        <f aca="false">CHOOSE(scenario,'Moteur prudent'!AO68,'Moteur central'!AO68,'Moteur ambitieux'!AO68)</f>
        <v>18554.1078633414</v>
      </c>
      <c r="C15" s="33" t="n">
        <f aca="false">CHOOSE(scenario,'Moteur prudent'!AP68,'Moteur central'!AP68,'Moteur ambitieux'!AP68)</f>
        <v>45972.5646557785</v>
      </c>
      <c r="D15" s="33" t="n">
        <f aca="false">CHOOSE(scenario,'Moteur prudent'!AQ68,'Moteur central'!AQ68,'Moteur ambitieux'!AQ68)</f>
        <v>48084.5362327322</v>
      </c>
    </row>
    <row r="16" customFormat="false" ht="15" hidden="false" customHeight="false" outlineLevel="0" collapsed="false">
      <c r="A16" s="5" t="s">
        <v>315</v>
      </c>
      <c r="B16" s="42"/>
      <c r="C16" s="42"/>
      <c r="D16" s="42"/>
    </row>
    <row r="17" customFormat="false" ht="15" hidden="false" customHeight="false" outlineLevel="0" collapsed="false">
      <c r="A17" s="10" t="s">
        <v>295</v>
      </c>
      <c r="B17" s="33" t="n">
        <f aca="false">CHOOSE(scenario,'Moteur prudent'!AO84,'Moteur central'!AO84,'Moteur ambitieux'!AO84)</f>
        <v>800000</v>
      </c>
      <c r="C17" s="33" t="n">
        <f aca="false">CHOOSE(scenario,'Moteur prudent'!AP84,'Moteur central'!AP84,'Moteur ambitieux'!AP84)</f>
        <v>0</v>
      </c>
      <c r="D17" s="33" t="n">
        <f aca="false">CHOOSE(scenario,'Moteur prudent'!AQ84,'Moteur central'!AQ84,'Moteur ambitieux'!AQ84)</f>
        <v>0</v>
      </c>
    </row>
    <row r="18" customFormat="false" ht="15" hidden="false" customHeight="false" outlineLevel="0" collapsed="false">
      <c r="A18" s="10" t="s">
        <v>316</v>
      </c>
      <c r="B18" s="33" t="n">
        <f aca="false">CHOOSE(scenario,'Moteur prudent'!AO85,'Moteur central'!AO85,'Moteur ambitieux'!AO85)</f>
        <v>0</v>
      </c>
      <c r="C18" s="33" t="n">
        <f aca="false">CHOOSE(scenario,'Moteur prudent'!AP85,'Moteur central'!AP85,'Moteur ambitieux'!AP85)</f>
        <v>0</v>
      </c>
      <c r="D18" s="33" t="n">
        <f aca="false">CHOOSE(scenario,'Moteur prudent'!AQ85,'Moteur central'!AQ85,'Moteur ambitieux'!AQ85)</f>
        <v>0</v>
      </c>
    </row>
    <row r="19" customFormat="false" ht="15" hidden="false" customHeight="false" outlineLevel="0" collapsed="false">
      <c r="A19" s="10" t="s">
        <v>167</v>
      </c>
      <c r="B19" s="33" t="n">
        <f aca="false">CHOOSE(scenario,'Moteur prudent'!AO69,'Moteur central'!AO69,'Moteur ambitieux'!AO69)</f>
        <v>220000</v>
      </c>
      <c r="C19" s="33" t="n">
        <f aca="false">CHOOSE(scenario,'Moteur prudent'!AP69,'Moteur central'!AP69,'Moteur ambitieux'!AP69)</f>
        <v>0</v>
      </c>
      <c r="D19" s="33" t="n">
        <f aca="false">CHOOSE(scenario,'Moteur prudent'!AQ69,'Moteur central'!AQ69,'Moteur ambitieux'!AQ69)</f>
        <v>0</v>
      </c>
    </row>
    <row r="20" customFormat="false" ht="15" hidden="false" customHeight="false" outlineLevel="0" collapsed="false">
      <c r="A20" s="11" t="s">
        <v>317</v>
      </c>
      <c r="B20" s="44" t="n">
        <f aca="false">B11-B13-B14-B15+B17+B18+B19</f>
        <v>554942.442685467</v>
      </c>
      <c r="C20" s="44" t="n">
        <f aca="false">C11-C13-C14-C15+C17+C18+C19</f>
        <v>-377863.640746757</v>
      </c>
      <c r="D20" s="44" t="n">
        <f aca="false">D11-D13-D14-D15+D17+D18+D19</f>
        <v>-94216.9619240877</v>
      </c>
    </row>
    <row r="21" customFormat="false" ht="15" hidden="false" customHeight="false" outlineLevel="0" collapsed="false">
      <c r="A21" s="10" t="s">
        <v>318</v>
      </c>
      <c r="B21" s="26" t="n">
        <f aca="false">ROUND(B20-CHOOSE(scenario,'Moteur prudent'!AO87,'Moteur central'!AO87,'Moteur ambitieux'!AO87),2)</f>
        <v>0</v>
      </c>
      <c r="C21" s="26" t="n">
        <f aca="false">ROUND(C20-CHOOSE(scenario,'Moteur prudent'!AP87,'Moteur central'!AP87,'Moteur ambitieux'!AP87),2)</f>
        <v>0</v>
      </c>
      <c r="D21" s="26" t="n">
        <f aca="false">ROUND(D20-CHOOSE(scenario,'Moteur prudent'!AQ87,'Moteur central'!AQ87,'Moteur ambitieux'!AQ87),2)</f>
        <v>0</v>
      </c>
    </row>
    <row r="23" customFormat="false" ht="15" hidden="false" customHeight="false" outlineLevel="0" collapsed="false">
      <c r="A23" s="14" t="s">
        <v>319</v>
      </c>
      <c r="B23" s="14" t="s">
        <v>88</v>
      </c>
    </row>
    <row r="24" customFormat="false" ht="15" hidden="false" customHeight="false" outlineLevel="0" collapsed="false">
      <c r="A24" s="15" t="s">
        <v>320</v>
      </c>
      <c r="B24" s="35" t="n">
        <f aca="false">CHOOSE(scenario,MAX(0,-MIN('Moteur prudent'!$D$89:$AM$89)),MAX(0,-MIN('Moteur central'!$D$89:$AM$89)),MAX(0,-MIN('Moteur ambitieux'!$D$89:$AM$89)))</f>
        <v>823361.90722026</v>
      </c>
    </row>
    <row r="25" customFormat="false" ht="15" hidden="false" customHeight="false" outlineLevel="0" collapsed="false">
      <c r="A25" s="15" t="s">
        <v>236</v>
      </c>
      <c r="B25" s="36" t="str">
        <f aca="false">CHOOSE(scenario,INDEX('Moteur prudent'!$D$7:$AM$7,MATCH(MIN('Moteur prudent'!$D$89:$AM$89),'Moteur prudent'!$D$89:$AM$89,0)),INDEX('Moteur central'!$D$7:$AM$7,MATCH(MIN('Moteur central'!$D$89:$AM$89),'Moteur central'!$D$89:$AM$89,0)),INDEX('Moteur ambitieux'!$D$7:$AM$7,MATCH(MIN('Moteur ambitieux'!$D$89:$AM$89),'Moteur ambitieux'!$D$89:$AM$89,0)))</f>
        <v>sept. 2029</v>
      </c>
    </row>
    <row r="26" customFormat="false" ht="15" hidden="false" customHeight="false" outlineLevel="0" collapsed="false">
      <c r="A26" s="15" t="s">
        <v>321</v>
      </c>
      <c r="B26" s="35" t="n">
        <f aca="false">apport+comptes_courants+levee+pret</f>
        <v>1020000</v>
      </c>
    </row>
    <row r="27" customFormat="false" ht="15" hidden="false" customHeight="false" outlineLevel="0" collapsed="false">
      <c r="A27" s="15" t="s">
        <v>250</v>
      </c>
      <c r="B27" s="35" t="n">
        <f aca="false">CHOOSE(scenario,SUM('Moteur prudent'!$D$85:$AM$85),SUM('Moteur central'!$D$85:$AM$85),SUM('Moteur ambitieux'!$D$85:$AM$85))</f>
        <v>0</v>
      </c>
    </row>
    <row r="28" customFormat="false" ht="15" hidden="false" customHeight="false" outlineLevel="0" collapsed="false">
      <c r="A28" s="15" t="s">
        <v>322</v>
      </c>
      <c r="B28" s="35" t="n">
        <f aca="false">CHOOSE(scenario,MIN('Moteur prudent'!$D$88:$AM$88),MIN('Moteur central'!$D$88:$AM$88),MIN('Moteur ambitieux'!$D$88:$AM$88))</f>
        <v>74477.6336504032</v>
      </c>
    </row>
    <row r="29" customFormat="false" ht="15" hidden="false" customHeight="false" outlineLevel="0" collapsed="false">
      <c r="A29" s="15" t="s">
        <v>236</v>
      </c>
      <c r="B29" s="36" t="str">
        <f aca="false">CHOOSE(scenario,INDEX('Moteur prudent'!$D$7:$AM$7,MATCH(MIN('Moteur prudent'!$D$88:$AM$88),'Moteur prudent'!$D$88:$AM$88,0)),INDEX('Moteur central'!$D$7:$AM$7,MATCH(MIN('Moteur central'!$D$88:$AM$88),'Moteur central'!$D$88:$AM$88,0)),INDEX('Moteur ambitieux'!$D$7:$AM$7,MATCH(MIN('Moteur ambitieux'!$D$88:$AM$88),'Moteur ambitieux'!$D$88:$AM$88,0)))</f>
        <v>sept. 2029</v>
      </c>
    </row>
    <row r="30" customFormat="false" ht="15" hidden="false" customHeight="false" outlineLevel="0" collapsed="false">
      <c r="A30" s="15" t="s">
        <v>323</v>
      </c>
      <c r="B30" s="36" t="str">
        <f aca="false">CHOOSE(scenario,IF(COUNT('Moteur prudent'!$D$92:$AM$92)=0,"aucun",INDEX('Moteur prudent'!$D$7:$AM$7,MIN('Moteur prudent'!$D$92:$AM$92))),IF(COUNT('Moteur central'!$D$92:$AM$92)=0,"aucun",INDEX('Moteur central'!$D$7:$AM$7,MIN('Moteur central'!$D$92:$AM$92))),IF(COUNT('Moteur ambitieux'!$D$92:$AM$92)=0,"aucun",INDEX('Moteur ambitieux'!$D$7:$AM$7,MIN('Moteur ambitieux'!$D$92:$AM$92))))</f>
        <v>aucun</v>
      </c>
    </row>
    <row r="31" customFormat="false" ht="15" hidden="false" customHeight="false" outlineLevel="0" collapsed="false">
      <c r="A31" s="15" t="s">
        <v>239</v>
      </c>
      <c r="B31" s="36" t="str">
        <f aca="false">CHOOSE(scenario,IF(MAX('Moteur prudent'!$D$91:$AM$91)&gt;=MAX('Moteur prudent'!$D$6:$AM$6),"après "&amp;INDEX('Moteur prudent'!$D$7:$AM$7,MAX('Moteur prudent'!$D$6:$AM$6)),INDEX('Moteur prudent'!$D$7:$AM$7,MAX('Moteur prudent'!$D$91:$AM$91)+1)),IF(MAX('Moteur central'!$D$91:$AM$91)&gt;=MAX('Moteur central'!$D$6:$AM$6),"après "&amp;INDEX('Moteur central'!$D$7:$AM$7,MAX('Moteur central'!$D$6:$AM$6)),INDEX('Moteur central'!$D$7:$AM$7,MAX('Moteur central'!$D$91:$AM$91)+1)),IF(MAX('Moteur ambitieux'!$D$91:$AM$91)&gt;=MAX('Moteur ambitieux'!$D$6:$AM$6),"après "&amp;INDEX('Moteur ambitieux'!$D$7:$AM$7,MAX('Moteur ambitieux'!$D$6:$AM$6)),INDEX('Moteur ambitieux'!$D$7:$AM$7,MAX('Moteur ambitieux'!$D$91:$AM$91)+1)))</f>
        <v>sept. 2029</v>
      </c>
    </row>
    <row r="33" customFormat="false" ht="15" hidden="false" customHeight="false" outlineLevel="0" collapsed="false">
      <c r="A33" s="2" t="s">
        <v>324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tru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4"/>
  </cols>
  <sheetData>
    <row r="1" customFormat="false" ht="17.35" hidden="false" customHeight="false" outlineLevel="0" collapsed="false">
      <c r="A1" s="1" t="s">
        <v>325</v>
      </c>
    </row>
    <row r="2" customFormat="false" ht="15" hidden="false" customHeight="false" outlineLevel="0" collapsed="false">
      <c r="A2" s="2" t="s">
        <v>309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4" customFormat="false" ht="15" hidden="false" customHeight="false" outlineLevel="0" collapsed="false">
      <c r="A4" s="11" t="str">
        <f aca="false">"Scénario affiché : "&amp;CHOOSE(scenario,"prudent","central","ambitieux")</f>
        <v>Scénario affiché : central</v>
      </c>
    </row>
    <row r="6" customFormat="false" ht="15" hidden="false" customHeight="false" outlineLevel="0" collapsed="false">
      <c r="A6" s="14" t="s">
        <v>259</v>
      </c>
      <c r="B6" s="31" t="n">
        <f aca="false">annee_debut+0</f>
        <v>2027</v>
      </c>
      <c r="C6" s="31" t="n">
        <f aca="false">annee_debut+1</f>
        <v>2028</v>
      </c>
      <c r="D6" s="31" t="n">
        <f aca="false">annee_debut+2</f>
        <v>2029</v>
      </c>
    </row>
    <row r="7" customFormat="false" ht="15" hidden="false" customHeight="false" outlineLevel="0" collapsed="false">
      <c r="A7" s="5" t="s">
        <v>326</v>
      </c>
      <c r="B7" s="42"/>
      <c r="C7" s="42"/>
      <c r="D7" s="42"/>
    </row>
    <row r="8" customFormat="false" ht="15" hidden="false" customHeight="false" outlineLevel="0" collapsed="false">
      <c r="A8" s="10" t="s">
        <v>327</v>
      </c>
      <c r="B8" s="33" t="n">
        <f aca="false">CHOOSE(scenario,'Moteur prudent'!AO93,'Moteur central'!AO93,'Moteur ambitieux'!AO93)</f>
        <v>236143.923211916</v>
      </c>
      <c r="C8" s="33" t="n">
        <f aca="false">CHOOSE(scenario,'Moteur prudent'!AP93,'Moteur central'!AP93,'Moteur ambitieux'!AP93)</f>
        <v>409503.471657048</v>
      </c>
      <c r="D8" s="33" t="n">
        <f aca="false">CHOOSE(scenario,'Moteur prudent'!AQ93,'Moteur central'!AQ93,'Moteur ambitieux'!AQ93)</f>
        <v>426388.536527225</v>
      </c>
    </row>
    <row r="9" customFormat="false" ht="15" hidden="false" customHeight="false" outlineLevel="0" collapsed="false">
      <c r="A9" s="10" t="s">
        <v>328</v>
      </c>
      <c r="B9" s="33" t="n">
        <f aca="false">CHOOSE(scenario,'Moteur prudent'!AO95,'Moteur central'!AO95,'Moteur ambitieux'!AO95)</f>
        <v>32109.7529859137</v>
      </c>
      <c r="C9" s="33" t="n">
        <f aca="false">CHOOSE(scenario,'Moteur prudent'!AP95,'Moteur central'!AP95,'Moteur ambitieux'!AP95)</f>
        <v>67622.437144646</v>
      </c>
      <c r="D9" s="33" t="n">
        <f aca="false">CHOOSE(scenario,'Moteur prudent'!AQ95,'Moteur central'!AQ95,'Moteur ambitieux'!AQ95)</f>
        <v>124230.136657414</v>
      </c>
    </row>
    <row r="10" customFormat="false" ht="15" hidden="false" customHeight="false" outlineLevel="0" collapsed="false">
      <c r="A10" s="11" t="s">
        <v>329</v>
      </c>
      <c r="B10" s="44" t="n">
        <f aca="false">B8-B9</f>
        <v>204034.170226002</v>
      </c>
      <c r="C10" s="44" t="n">
        <f aca="false">C8-C9</f>
        <v>341881.034512402</v>
      </c>
      <c r="D10" s="44" t="n">
        <f aca="false">D8-D9</f>
        <v>302158.399869811</v>
      </c>
    </row>
    <row r="11" customFormat="false" ht="15" hidden="false" customHeight="false" outlineLevel="0" collapsed="false">
      <c r="A11" s="10" t="s">
        <v>330</v>
      </c>
      <c r="B11" s="33" t="n">
        <f aca="false">CHOOSE(scenario,'Moteur prudent'!AO77,'Moteur central'!AO77,'Moteur ambitieux'!AO77)</f>
        <v>21936.8716823411</v>
      </c>
      <c r="C11" s="33" t="n">
        <f aca="false">CHOOSE(scenario,'Moteur prudent'!AP77,'Moteur central'!AP77,'Moteur ambitieux'!AP77)</f>
        <v>65016.1147698998</v>
      </c>
      <c r="D11" s="33" t="n">
        <f aca="false">CHOOSE(scenario,'Moteur prudent'!AQ77,'Moteur central'!AQ77,'Moteur ambitieux'!AQ77)</f>
        <v>118562.990473619</v>
      </c>
    </row>
    <row r="12" customFormat="false" ht="15" hidden="false" customHeight="false" outlineLevel="0" collapsed="false">
      <c r="A12" s="10" t="s">
        <v>331</v>
      </c>
      <c r="B12" s="45" t="n">
        <f aca="false">MAX(0,CHOOSE(scenario,'Moteur prudent'!AO88,'Moteur central'!AO88,'Moteur ambitieux'!AO88))</f>
        <v>554942.442685467</v>
      </c>
      <c r="C12" s="45" t="n">
        <f aca="false">MAX(0,CHOOSE(scenario,'Moteur prudent'!AP88,'Moteur central'!AP88,'Moteur ambitieux'!AP88))</f>
        <v>177078.80193871</v>
      </c>
      <c r="D12" s="45" t="n">
        <f aca="false">MAX(0,CHOOSE(scenario,'Moteur prudent'!AQ88,'Moteur central'!AQ88,'Moteur ambitieux'!AQ88))</f>
        <v>82861.8400146224</v>
      </c>
    </row>
    <row r="13" customFormat="false" ht="15" hidden="false" customHeight="false" outlineLevel="0" collapsed="false">
      <c r="A13" s="11" t="s">
        <v>332</v>
      </c>
      <c r="B13" s="44" t="n">
        <f aca="false">B10+B11+B12</f>
        <v>780913.48459381</v>
      </c>
      <c r="C13" s="44" t="n">
        <f aca="false">C10+C11+C12</f>
        <v>583975.951221012</v>
      </c>
      <c r="D13" s="44" t="n">
        <f aca="false">D10+D11+D12</f>
        <v>503583.230358053</v>
      </c>
    </row>
    <row r="14" customFormat="false" ht="15" hidden="false" customHeight="false" outlineLevel="0" collapsed="false">
      <c r="A14" s="5" t="s">
        <v>333</v>
      </c>
      <c r="B14" s="42"/>
      <c r="C14" s="42"/>
      <c r="D14" s="42"/>
    </row>
    <row r="15" customFormat="false" ht="15" hidden="false" customHeight="false" outlineLevel="0" collapsed="false">
      <c r="A15" s="10" t="s">
        <v>334</v>
      </c>
      <c r="B15" s="33" t="n">
        <f aca="false">CHOOSE(scenario,'Moteur prudent'!AO96,'Moteur central'!AO96,'Moteur ambitieux'!AO96)</f>
        <v>51612.9032258065</v>
      </c>
      <c r="C15" s="33" t="n">
        <f aca="false">CHOOSE(scenario,'Moteur prudent'!AP96,'Moteur central'!AP96,'Moteur ambitieux'!AP96)</f>
        <v>51612.9032258065</v>
      </c>
      <c r="D15" s="33" t="n">
        <f aca="false">CHOOSE(scenario,'Moteur prudent'!AQ96,'Moteur central'!AQ96,'Moteur ambitieux'!AQ96)</f>
        <v>51612.9032258065</v>
      </c>
    </row>
    <row r="16" customFormat="false" ht="15" hidden="false" customHeight="false" outlineLevel="0" collapsed="false">
      <c r="A16" s="10" t="s">
        <v>335</v>
      </c>
      <c r="B16" s="33" t="n">
        <f aca="false">CHOOSE(scenario,'Moteur prudent'!AO97,'Moteur central'!AO97,'Moteur ambitieux'!AO97)</f>
        <v>688387.096774194</v>
      </c>
      <c r="C16" s="33" t="n">
        <f aca="false">CHOOSE(scenario,'Moteur prudent'!AP97,'Moteur central'!AP97,'Moteur ambitieux'!AP97)</f>
        <v>688387.096774194</v>
      </c>
      <c r="D16" s="33" t="n">
        <f aca="false">CHOOSE(scenario,'Moteur prudent'!AQ97,'Moteur central'!AQ97,'Moteur ambitieux'!AQ97)</f>
        <v>688387.096774194</v>
      </c>
    </row>
    <row r="17" customFormat="false" ht="15" hidden="false" customHeight="false" outlineLevel="0" collapsed="false">
      <c r="A17" s="10" t="s">
        <v>336</v>
      </c>
      <c r="B17" s="33" t="n">
        <f aca="false">CHOOSE(scenario,'Moteur prudent'!AO98,'Moteur central'!AO98,'Moteur ambitieux'!AO98)</f>
        <v>-236483.48166902</v>
      </c>
      <c r="C17" s="33" t="n">
        <f aca="false">CHOOSE(scenario,'Moteur prudent'!AP98,'Moteur central'!AP98,'Moteur ambitieux'!AP98)</f>
        <v>-403833.658474394</v>
      </c>
      <c r="D17" s="33" t="n">
        <f aca="false">CHOOSE(scenario,'Moteur prudent'!AQ98,'Moteur central'!AQ98,'Moteur ambitieux'!AQ98)</f>
        <v>-455305.501627332</v>
      </c>
    </row>
    <row r="18" customFormat="false" ht="15" hidden="false" customHeight="false" outlineLevel="0" collapsed="false">
      <c r="A18" s="11" t="s">
        <v>337</v>
      </c>
      <c r="B18" s="44" t="n">
        <f aca="false">B15+B16+B17</f>
        <v>503516.51833098</v>
      </c>
      <c r="C18" s="44" t="n">
        <f aca="false">C15+C16+C17</f>
        <v>336166.341525606</v>
      </c>
      <c r="D18" s="44" t="n">
        <f aca="false">D15+D16+D17</f>
        <v>284694.498372668</v>
      </c>
    </row>
    <row r="19" customFormat="false" ht="15" hidden="false" customHeight="false" outlineLevel="0" collapsed="false">
      <c r="A19" s="10" t="s">
        <v>338</v>
      </c>
      <c r="B19" s="33" t="n">
        <f aca="false">CHOOSE(scenario,'Moteur prudent'!AO100,'Moteur central'!AO100,'Moteur ambitieux'!AO100)</f>
        <v>60000</v>
      </c>
      <c r="C19" s="33" t="n">
        <f aca="false">CHOOSE(scenario,'Moteur prudent'!AP100,'Moteur central'!AP100,'Moteur ambitieux'!AP100)</f>
        <v>60000</v>
      </c>
      <c r="D19" s="33" t="n">
        <f aca="false">CHOOSE(scenario,'Moteur prudent'!AQ100,'Moteur central'!AQ100,'Moteur ambitieux'!AQ100)</f>
        <v>60000</v>
      </c>
    </row>
    <row r="20" customFormat="false" ht="15" hidden="false" customHeight="false" outlineLevel="0" collapsed="false">
      <c r="A20" s="10" t="s">
        <v>339</v>
      </c>
      <c r="B20" s="33" t="n">
        <f aca="false">CHOOSE(scenario,'Moteur prudent'!AO70,'Moteur central'!AO70,'Moteur ambitieux'!AO70)</f>
        <v>201445.892136659</v>
      </c>
      <c r="C20" s="33" t="n">
        <f aca="false">CHOOSE(scenario,'Moteur prudent'!AP70,'Moteur central'!AP70,'Moteur ambitieux'!AP70)</f>
        <v>155473.32748088</v>
      </c>
      <c r="D20" s="33" t="n">
        <f aca="false">CHOOSE(scenario,'Moteur prudent'!AQ70,'Moteur central'!AQ70,'Moteur ambitieux'!AQ70)</f>
        <v>107388.791248148</v>
      </c>
    </row>
    <row r="21" customFormat="false" ht="15" hidden="false" customHeight="false" outlineLevel="0" collapsed="false">
      <c r="A21" s="10" t="s">
        <v>340</v>
      </c>
      <c r="B21" s="33" t="n">
        <f aca="false">CHOOSE(scenario,'Moteur prudent'!AO78,'Moteur central'!AO78,'Moteur ambitieux'!AO78)</f>
        <v>15951.0741261718</v>
      </c>
      <c r="C21" s="33" t="n">
        <f aca="false">CHOOSE(scenario,'Moteur prudent'!AP78,'Moteur central'!AP78,'Moteur ambitieux'!AP78)</f>
        <v>32336.2822145261</v>
      </c>
      <c r="D21" s="33" t="n">
        <f aca="false">CHOOSE(scenario,'Moteur prudent'!AQ78,'Moteur central'!AQ78,'Moteur ambitieux'!AQ78)</f>
        <v>51499.940737237</v>
      </c>
    </row>
    <row r="22" customFormat="false" ht="15" hidden="false" customHeight="false" outlineLevel="0" collapsed="false">
      <c r="A22" s="10" t="s">
        <v>341</v>
      </c>
      <c r="B22" s="45" t="n">
        <f aca="false">MAX(0,-CHOOSE(scenario,'Moteur prudent'!AO88,'Moteur central'!AO88,'Moteur ambitieux'!AO88))</f>
        <v>0</v>
      </c>
      <c r="C22" s="45" t="n">
        <f aca="false">MAX(0,-CHOOSE(scenario,'Moteur prudent'!AP88,'Moteur central'!AP88,'Moteur ambitieux'!AP88))</f>
        <v>0</v>
      </c>
      <c r="D22" s="45" t="n">
        <f aca="false">MAX(0,-CHOOSE(scenario,'Moteur prudent'!AQ88,'Moteur central'!AQ88,'Moteur ambitieux'!AQ88))</f>
        <v>0</v>
      </c>
    </row>
    <row r="23" customFormat="false" ht="15" hidden="false" customHeight="false" outlineLevel="0" collapsed="false">
      <c r="A23" s="11" t="s">
        <v>342</v>
      </c>
      <c r="B23" s="44" t="n">
        <f aca="false">B18+B19+B20+B21+B22</f>
        <v>780913.48459381</v>
      </c>
      <c r="C23" s="44" t="n">
        <f aca="false">C18+C19+C20+C21+C22</f>
        <v>583975.951221012</v>
      </c>
      <c r="D23" s="44" t="n">
        <f aca="false">D18+D19+D20+D21+D22</f>
        <v>503583.230358053</v>
      </c>
    </row>
    <row r="24" customFormat="false" ht="15" hidden="false" customHeight="false" outlineLevel="0" collapsed="false">
      <c r="A24" s="5" t="s">
        <v>343</v>
      </c>
      <c r="B24" s="42"/>
      <c r="C24" s="42"/>
      <c r="D24" s="42"/>
    </row>
    <row r="25" customFormat="false" ht="15" hidden="false" customHeight="false" outlineLevel="0" collapsed="false">
      <c r="A25" s="10" t="s">
        <v>344</v>
      </c>
      <c r="B25" s="26" t="n">
        <f aca="false">ROUND(B13-B23,2)</f>
        <v>0</v>
      </c>
      <c r="C25" s="26" t="n">
        <f aca="false">ROUND(C13-C23,2)</f>
        <v>0</v>
      </c>
      <c r="D25" s="26" t="n">
        <f aca="false">ROUND(D13-D23,2)</f>
        <v>0</v>
      </c>
    </row>
    <row r="26" customFormat="false" ht="15" hidden="false" customHeight="false" outlineLevel="0" collapsed="false">
      <c r="A26" s="10" t="s">
        <v>345</v>
      </c>
      <c r="B26" s="46" t="str">
        <f aca="false">IF(B18&gt;=B15/2,"au-dessus","sous la moitié")</f>
        <v>au-dessus</v>
      </c>
      <c r="C26" s="46" t="str">
        <f aca="false">IF(C18&gt;=C15/2,"au-dessus","sous la moitié")</f>
        <v>au-dessus</v>
      </c>
      <c r="D26" s="46" t="str">
        <f aca="false">IF(D18&gt;=D15/2,"au-dessus","sous la moitié")</f>
        <v>au-dessus</v>
      </c>
    </row>
    <row r="27" customFormat="false" ht="15" hidden="false" customHeight="false" outlineLevel="0" collapsed="false">
      <c r="A27" s="10" t="s">
        <v>346</v>
      </c>
      <c r="B27" s="47" t="n">
        <f aca="false">IF(B15=0,0,1-apport/B15)</f>
        <v>0.225</v>
      </c>
      <c r="C27" s="47" t="n">
        <f aca="false">IF(C15=0,0,1-apport/C15)</f>
        <v>0.225</v>
      </c>
      <c r="D27" s="47" t="n">
        <f aca="false">IF(D15=0,0,1-apport/D15)</f>
        <v>0.225</v>
      </c>
    </row>
    <row r="29" customFormat="false" ht="15" hidden="false" customHeight="false" outlineLevel="0" collapsed="false">
      <c r="A29" s="2" t="s">
        <v>347</v>
      </c>
    </row>
    <row r="30" customFormat="false" ht="15" hidden="false" customHeight="false" outlineLevel="0" collapsed="false">
      <c r="A30" s="2" t="s">
        <v>348</v>
      </c>
    </row>
    <row r="31" customFormat="false" ht="15" hidden="false" customHeight="false" outlineLevel="0" collapsed="false">
      <c r="A31" s="2" t="s">
        <v>349</v>
      </c>
    </row>
    <row r="32" customFormat="false" ht="15" hidden="false" customHeight="false" outlineLevel="0" collapsed="false">
      <c r="A32" s="2" t="s">
        <v>350</v>
      </c>
    </row>
    <row r="33" customFormat="false" ht="15" hidden="false" customHeight="false" outlineLevel="0" collapsed="false">
      <c r="A33" s="2" t="s">
        <v>351</v>
      </c>
    </row>
  </sheetData>
  <conditionalFormatting sqref="B26:D26">
    <cfRule type="cellIs" priority="2" operator="equal" aboveAverage="0" equalAverage="0" bottom="0" percent="0" rank="0" text="" dxfId="0">
      <formula>"sous la moitié"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35"/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  <col collapsed="false" customWidth="true" hidden="false" outlineLevel="0" max="5" min="5" style="0" width="9"/>
  </cols>
  <sheetData>
    <row r="1" customFormat="false" ht="17.35" hidden="false" customHeight="false" outlineLevel="0" collapsed="false">
      <c r="A1" s="1" t="s">
        <v>352</v>
      </c>
    </row>
    <row r="2" customFormat="false" ht="15" hidden="false" customHeight="false" outlineLevel="0" collapsed="false">
      <c r="A2" s="2" t="s">
        <v>353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</row>
    <row r="4" customFormat="false" ht="15" hidden="false" customHeight="false" outlineLevel="0" collapsed="false">
      <c r="A4" s="11" t="str">
        <f aca="false">"Règle de décision appliquée : "&amp;IF(regle_decision=1,"oui","non (scénarios avant mesures)")</f>
        <v>Règle de décision appliquée : non (scénarios avant mesures)</v>
      </c>
    </row>
    <row r="6" customFormat="false" ht="15" hidden="false" customHeight="false" outlineLevel="0" collapsed="false">
      <c r="A6" s="14" t="s">
        <v>354</v>
      </c>
      <c r="B6" s="43" t="s">
        <v>53</v>
      </c>
      <c r="C6" s="43" t="s">
        <v>54</v>
      </c>
      <c r="D6" s="43" t="s">
        <v>55</v>
      </c>
      <c r="E6" s="14" t="s">
        <v>52</v>
      </c>
    </row>
    <row r="7" customFormat="false" ht="15" hidden="false" customHeight="false" outlineLevel="0" collapsed="false">
      <c r="A7" s="15" t="s">
        <v>355</v>
      </c>
      <c r="B7" s="35" t="n">
        <f aca="false">'Moteur prudent'!AO19</f>
        <v>83974.8290976257</v>
      </c>
      <c r="C7" s="35" t="n">
        <f aca="false">'Moteur central'!AO19</f>
        <v>138442.351328053</v>
      </c>
      <c r="D7" s="35" t="n">
        <f aca="false">'Moteur ambitieux'!AO19</f>
        <v>196501.185615535</v>
      </c>
      <c r="E7" s="16" t="s">
        <v>161</v>
      </c>
    </row>
    <row r="8" customFormat="false" ht="15" hidden="false" customHeight="false" outlineLevel="0" collapsed="false">
      <c r="A8" s="15" t="s">
        <v>356</v>
      </c>
      <c r="B8" s="35" t="n">
        <f aca="false">'Moteur prudent'!AP19</f>
        <v>295356.312233108</v>
      </c>
      <c r="C8" s="35" t="n">
        <f aca="false">'Moteur central'!AP19</f>
        <v>537816.801109492</v>
      </c>
      <c r="D8" s="35" t="n">
        <f aca="false">'Moteur ambitieux'!AP19</f>
        <v>775019.368826158</v>
      </c>
      <c r="E8" s="16" t="s">
        <v>161</v>
      </c>
    </row>
    <row r="9" customFormat="false" ht="15" hidden="false" customHeight="false" outlineLevel="0" collapsed="false">
      <c r="A9" s="15" t="s">
        <v>357</v>
      </c>
      <c r="B9" s="35" t="n">
        <f aca="false">'Moteur prudent'!AQ19</f>
        <v>572653.781802032</v>
      </c>
      <c r="C9" s="35" t="n">
        <f aca="false">'Moteur central'!AQ19</f>
        <v>1120866.04987105</v>
      </c>
      <c r="D9" s="35" t="n">
        <f aca="false">'Moteur ambitieux'!AQ19</f>
        <v>1689098.83768574</v>
      </c>
      <c r="E9" s="16" t="s">
        <v>161</v>
      </c>
    </row>
    <row r="10" customFormat="false" ht="15" hidden="false" customHeight="false" outlineLevel="0" collapsed="false">
      <c r="A10" s="15" t="s">
        <v>358</v>
      </c>
      <c r="B10" s="35" t="n">
        <f aca="false">'Moteur prudent'!AO48</f>
        <v>-233140.876584722</v>
      </c>
      <c r="C10" s="35" t="n">
        <f aca="false">'Moteur central'!AO48</f>
        <v>-187149.897988406</v>
      </c>
      <c r="D10" s="35" t="n">
        <f aca="false">'Moteur ambitieux'!AO48</f>
        <v>-153308.837270072</v>
      </c>
      <c r="E10" s="16" t="s">
        <v>161</v>
      </c>
    </row>
    <row r="11" customFormat="false" ht="15" hidden="false" customHeight="false" outlineLevel="0" collapsed="false">
      <c r="A11" s="15" t="s">
        <v>359</v>
      </c>
      <c r="B11" s="35" t="n">
        <f aca="false">'Moteur prudent'!AP48</f>
        <v>-240980.605107566</v>
      </c>
      <c r="C11" s="35" t="n">
        <f aca="false">'Moteur central'!AP48</f>
        <v>-99583.1664590814</v>
      </c>
      <c r="D11" s="35" t="n">
        <f aca="false">'Moteur ambitieux'!AP48</f>
        <v>-7833.1925286264</v>
      </c>
      <c r="E11" s="16" t="s">
        <v>161</v>
      </c>
    </row>
    <row r="12" customFormat="false" ht="15" hidden="false" customHeight="false" outlineLevel="0" collapsed="false">
      <c r="A12" s="15" t="s">
        <v>360</v>
      </c>
      <c r="B12" s="35" t="n">
        <f aca="false">'Moteur prudent'!AQ48</f>
        <v>-192365.955415263</v>
      </c>
      <c r="C12" s="35" t="n">
        <f aca="false">'Moteur central'!AQ48</f>
        <v>52451.0790506509</v>
      </c>
      <c r="D12" s="35" t="n">
        <f aca="false">'Moteur ambitieux'!AQ48</f>
        <v>367112.886918501</v>
      </c>
      <c r="E12" s="16" t="s">
        <v>161</v>
      </c>
    </row>
    <row r="13" customFormat="false" ht="15" hidden="false" customHeight="false" outlineLevel="0" collapsed="false">
      <c r="A13" s="15" t="s">
        <v>361</v>
      </c>
      <c r="B13" s="48" t="n">
        <f aca="false">'Moteur prudent'!AQ49</f>
        <v>-0.335920169443262</v>
      </c>
      <c r="C13" s="48" t="n">
        <f aca="false">'Moteur central'!AQ49</f>
        <v>0.046795135829732</v>
      </c>
      <c r="D13" s="48" t="n">
        <f aca="false">'Moteur ambitieux'!AQ49</f>
        <v>0.217342454288518</v>
      </c>
      <c r="E13" s="16" t="s">
        <v>66</v>
      </c>
    </row>
    <row r="14" customFormat="false" ht="15" hidden="false" customHeight="false" outlineLevel="0" collapsed="false">
      <c r="A14" s="15" t="s">
        <v>362</v>
      </c>
      <c r="B14" s="35" t="n">
        <f aca="false">'Moteur prudent'!AQ75</f>
        <v>-252448.439703531</v>
      </c>
      <c r="C14" s="35" t="n">
        <f aca="false">'Moteur central'!AQ75</f>
        <v>-51471.8431529377</v>
      </c>
      <c r="D14" s="35" t="n">
        <f aca="false">'Moteur ambitieux'!AQ75</f>
        <v>227428.743145907</v>
      </c>
      <c r="E14" s="16" t="s">
        <v>161</v>
      </c>
    </row>
    <row r="15" customFormat="false" ht="15" hidden="false" customHeight="false" outlineLevel="0" collapsed="false">
      <c r="A15" s="15" t="s">
        <v>363</v>
      </c>
      <c r="B15" s="35" t="n">
        <f aca="false">'Moteur prudent'!AQ10</f>
        <v>182.518651509015</v>
      </c>
      <c r="C15" s="35" t="n">
        <f aca="false">'Moteur central'!AQ10</f>
        <v>285.394881630546</v>
      </c>
      <c r="D15" s="35" t="n">
        <f aca="false">'Moteur ambitieux'!AQ10</f>
        <v>377.256439050889</v>
      </c>
      <c r="E15" s="16" t="s">
        <v>59</v>
      </c>
    </row>
    <row r="16" customFormat="false" ht="15" hidden="false" customHeight="false" outlineLevel="0" collapsed="false">
      <c r="A16" s="15" t="s">
        <v>364</v>
      </c>
      <c r="B16" s="35" t="n">
        <f aca="false">'Moteur prudent'!AQ13</f>
        <v>1062068.79662245</v>
      </c>
      <c r="C16" s="35" t="n">
        <f aca="false">'Moteur central'!AQ13</f>
        <v>1944372.91371354</v>
      </c>
      <c r="D16" s="35" t="n">
        <f aca="false">'Moteur ambitieux'!AQ13</f>
        <v>2860912.45443138</v>
      </c>
      <c r="E16" s="16" t="s">
        <v>59</v>
      </c>
    </row>
    <row r="17" customFormat="false" ht="15" hidden="false" customHeight="false" outlineLevel="0" collapsed="false">
      <c r="A17" s="15" t="s">
        <v>365</v>
      </c>
      <c r="B17" s="35" t="n">
        <f aca="false">'Moteur prudent'!AQ33</f>
        <v>9</v>
      </c>
      <c r="C17" s="35" t="n">
        <f aca="false">'Moteur central'!AQ33</f>
        <v>14</v>
      </c>
      <c r="D17" s="35" t="n">
        <f aca="false">'Moteur ambitieux'!AQ33</f>
        <v>18</v>
      </c>
      <c r="E17" s="16" t="s">
        <v>366</v>
      </c>
    </row>
    <row r="18" customFormat="false" ht="15" hidden="false" customHeight="false" outlineLevel="0" collapsed="false">
      <c r="A18" s="15" t="s">
        <v>367</v>
      </c>
      <c r="B18" s="35" t="n">
        <f aca="false">SUM('Moteur prudent'!AO56:AQ56)</f>
        <v>289344.958317339</v>
      </c>
      <c r="C18" s="35" t="n">
        <f aca="false">SUM('Moteur central'!AO56:AQ56)</f>
        <v>500108.38197713</v>
      </c>
      <c r="D18" s="35" t="n">
        <f aca="false">SUM('Moteur ambitieux'!AO56:AQ56)</f>
        <v>715712.713083971</v>
      </c>
      <c r="E18" s="16" t="s">
        <v>161</v>
      </c>
    </row>
    <row r="19" customFormat="false" ht="15" hidden="false" customHeight="false" outlineLevel="0" collapsed="false">
      <c r="A19" s="15" t="s">
        <v>368</v>
      </c>
      <c r="B19" s="37" t="n">
        <f aca="false">INDEX('Moteur prudent'!$D$10:$AM$10,mois_decision)</f>
        <v>78.0965766989934</v>
      </c>
      <c r="C19" s="37" t="n">
        <f aca="false">INDEX('Moteur central'!$D$10:$AM$10,mois_decision)</f>
        <v>110.496218321883</v>
      </c>
      <c r="D19" s="37" t="n">
        <f aca="false">INDEX('Moteur ambitieux'!$D$10:$AM$10,mois_decision)</f>
        <v>136.247784714106</v>
      </c>
      <c r="E19" s="16" t="s">
        <v>59</v>
      </c>
    </row>
    <row r="20" customFormat="false" ht="15" hidden="false" customHeight="false" outlineLevel="0" collapsed="false">
      <c r="A20" s="15" t="s">
        <v>240</v>
      </c>
      <c r="B20" s="36" t="str">
        <f aca="false">IF(OR(INDEX('Moteur prudent'!$D$10:$AM$10,mois_decision)&lt;seuil_decision_pdv,prix_rotation_p&lt;seuil_prix,cout_lavage_p+cout_logistique_p+taux_perte_p*cout_contenant&gt;seuil_cout_variable),IF(regle_decision=1,"manqué : la règle joue","manqué (règle non appliquée)"),"atteint")</f>
        <v>manqué (règle non appliquée)</v>
      </c>
      <c r="C20" s="36" t="str">
        <f aca="false">IF(OR(INDEX('Moteur central'!$D$10:$AM$10,mois_decision)&lt;seuil_decision_pdv,prix_rotation_c&lt;seuil_prix,cout_lavage_c+cout_logistique_c+taux_perte_c*cout_contenant&gt;seuil_cout_variable),IF(regle_decision=1,"manqué : la règle joue","manqué (règle non appliquée)"),"atteint")</f>
        <v>atteint</v>
      </c>
      <c r="D20" s="36" t="str">
        <f aca="false">IF(OR(INDEX('Moteur ambitieux'!$D$10:$AM$10,mois_decision)&lt;seuil_decision_pdv,prix_rotation_a&lt;seuil_prix,cout_lavage_a+cout_logistique_a+taux_perte_a*cout_contenant&gt;seuil_cout_variable),IF(regle_decision=1,"manqué : la règle joue","manqué (règle non appliquée)"),"atteint")</f>
        <v>atteint</v>
      </c>
      <c r="E20" s="16"/>
    </row>
    <row r="21" customFormat="false" ht="15" hidden="false" customHeight="false" outlineLevel="0" collapsed="false">
      <c r="A21" s="15" t="s">
        <v>250</v>
      </c>
      <c r="B21" s="35" t="n">
        <f aca="false">SUM('Moteur prudent'!$D$85:$AM$85)</f>
        <v>0</v>
      </c>
      <c r="C21" s="35" t="n">
        <f aca="false">SUM('Moteur central'!$D$85:$AM$85)</f>
        <v>0</v>
      </c>
      <c r="D21" s="35" t="n">
        <f aca="false">SUM('Moteur ambitieux'!$D$85:$AM$85)</f>
        <v>0</v>
      </c>
      <c r="E21" s="16" t="s">
        <v>161</v>
      </c>
    </row>
    <row r="22" customFormat="false" ht="15" hidden="false" customHeight="false" outlineLevel="0" collapsed="false">
      <c r="A22" s="15" t="s">
        <v>235</v>
      </c>
      <c r="B22" s="35" t="n">
        <f aca="false">MAX(0,-MIN('Moteur prudent'!$D$89:$AM$89))</f>
        <v>1007897.79804067</v>
      </c>
      <c r="C22" s="35" t="n">
        <f aca="false">MAX(0,-MIN('Moteur central'!$D$89:$AM$89))</f>
        <v>823361.90722026</v>
      </c>
      <c r="D22" s="35" t="n">
        <f aca="false">MAX(0,-MIN('Moteur ambitieux'!$D$89:$AM$89))</f>
        <v>813858.340660194</v>
      </c>
      <c r="E22" s="16" t="s">
        <v>161</v>
      </c>
    </row>
    <row r="23" customFormat="false" ht="15" hidden="false" customHeight="false" outlineLevel="0" collapsed="false">
      <c r="A23" s="15" t="s">
        <v>369</v>
      </c>
      <c r="B23" s="36" t="str">
        <f aca="false">INDEX('Moteur prudent'!$D$7:$AM$7,MATCH(MIN('Moteur prudent'!$D$89:$AM$89),'Moteur prudent'!$D$89:$AM$89,0))</f>
        <v>déc. 2029</v>
      </c>
      <c r="C23" s="36" t="str">
        <f aca="false">INDEX('Moteur central'!$D$7:$AM$7,MATCH(MIN('Moteur central'!$D$89:$AM$89),'Moteur central'!$D$89:$AM$89,0))</f>
        <v>sept. 2029</v>
      </c>
      <c r="D23" s="36" t="str">
        <f aca="false">INDEX('Moteur ambitieux'!$D$7:$AM$7,MATCH(MIN('Moteur ambitieux'!$D$89:$AM$89),'Moteur ambitieux'!$D$89:$AM$89,0))</f>
        <v>mai 2029</v>
      </c>
      <c r="E23" s="16"/>
    </row>
    <row r="24" customFormat="false" ht="15" hidden="false" customHeight="false" outlineLevel="0" collapsed="false">
      <c r="A24" s="15" t="s">
        <v>237</v>
      </c>
      <c r="B24" s="35" t="n">
        <f aca="false">apport+comptes_courants+levee+pret</f>
        <v>1020000</v>
      </c>
      <c r="C24" s="35" t="n">
        <f aca="false">apport+comptes_courants+levee+pret</f>
        <v>1020000</v>
      </c>
      <c r="D24" s="35" t="n">
        <f aca="false">apport+comptes_courants+levee+pret</f>
        <v>1020000</v>
      </c>
      <c r="E24" s="16" t="s">
        <v>161</v>
      </c>
    </row>
    <row r="25" customFormat="false" ht="15" hidden="false" customHeight="false" outlineLevel="0" collapsed="false">
      <c r="A25" s="15" t="s">
        <v>238</v>
      </c>
      <c r="B25" s="35" t="n">
        <f aca="false">MIN('Moteur prudent'!$D$88:$AM$88)</f>
        <v>-123582.540915702</v>
      </c>
      <c r="C25" s="35" t="n">
        <f aca="false">MIN('Moteur central'!$D$88:$AM$88)</f>
        <v>74477.6336504032</v>
      </c>
      <c r="D25" s="35" t="n">
        <f aca="false">MIN('Moteur ambitieux'!$D$88:$AM$88)</f>
        <v>102013.578538059</v>
      </c>
      <c r="E25" s="16" t="s">
        <v>161</v>
      </c>
    </row>
    <row r="26" customFormat="false" ht="15" hidden="false" customHeight="false" outlineLevel="0" collapsed="false">
      <c r="A26" s="15" t="s">
        <v>370</v>
      </c>
      <c r="B26" s="36" t="str">
        <f aca="false">INDEX('Moteur prudent'!$D$7:$AM$7,MATCH(MIN('Moteur prudent'!$D$88:$AM$88),'Moteur prudent'!$D$88:$AM$88,0))</f>
        <v>déc. 2029</v>
      </c>
      <c r="C26" s="36" t="str">
        <f aca="false">INDEX('Moteur central'!$D$7:$AM$7,MATCH(MIN('Moteur central'!$D$88:$AM$88),'Moteur central'!$D$88:$AM$88,0))</f>
        <v>sept. 2029</v>
      </c>
      <c r="D26" s="36" t="str">
        <f aca="false">INDEX('Moteur ambitieux'!$D$7:$AM$7,MATCH(MIN('Moteur ambitieux'!$D$88:$AM$88),'Moteur ambitieux'!$D$88:$AM$88,0))</f>
        <v>mai 2029</v>
      </c>
      <c r="E26" s="16"/>
    </row>
    <row r="27" customFormat="false" ht="15" hidden="false" customHeight="false" outlineLevel="0" collapsed="false">
      <c r="A27" s="15" t="s">
        <v>323</v>
      </c>
      <c r="B27" s="36" t="str">
        <f aca="false">IF(COUNT('Moteur prudent'!$D$92:$AM$92)=0,"aucun",INDEX('Moteur prudent'!$D$7:$AM$7,MIN('Moteur prudent'!$D$92:$AM$92)))</f>
        <v>juil. 2029</v>
      </c>
      <c r="C27" s="36" t="str">
        <f aca="false">IF(COUNT('Moteur central'!$D$92:$AM$92)=0,"aucun",INDEX('Moteur central'!$D$7:$AM$7,MIN('Moteur central'!$D$92:$AM$92)))</f>
        <v>aucun</v>
      </c>
      <c r="D27" s="36" t="str">
        <f aca="false">IF(COUNT('Moteur ambitieux'!$D$92:$AM$92)=0,"aucun",INDEX('Moteur ambitieux'!$D$7:$AM$7,MIN('Moteur ambitieux'!$D$92:$AM$92)))</f>
        <v>aucun</v>
      </c>
      <c r="E27" s="16"/>
    </row>
    <row r="28" customFormat="false" ht="15" hidden="false" customHeight="false" outlineLevel="0" collapsed="false">
      <c r="A28" s="15" t="s">
        <v>371</v>
      </c>
      <c r="B28" s="35" t="n">
        <f aca="false">'Moteur prudent'!AQ88</f>
        <v>-123582.540915702</v>
      </c>
      <c r="C28" s="35" t="n">
        <f aca="false">'Moteur central'!AQ88</f>
        <v>82861.8400146224</v>
      </c>
      <c r="D28" s="35" t="n">
        <f aca="false">'Moteur ambitieux'!AQ88</f>
        <v>260929.820061787</v>
      </c>
      <c r="E28" s="16" t="s">
        <v>161</v>
      </c>
    </row>
    <row r="29" customFormat="false" ht="15" hidden="false" customHeight="false" outlineLevel="0" collapsed="false">
      <c r="A29" s="15" t="s">
        <v>372</v>
      </c>
      <c r="B29" s="35" t="n">
        <f aca="false">'Moteur prudent'!AQ99</f>
        <v>-88544.3040649974</v>
      </c>
      <c r="C29" s="35" t="n">
        <f aca="false">'Moteur central'!AQ99</f>
        <v>284694.498372668</v>
      </c>
      <c r="D29" s="35" t="n">
        <f aca="false">'Moteur ambitieux'!AQ99</f>
        <v>667200.919278115</v>
      </c>
      <c r="E29" s="16" t="s">
        <v>161</v>
      </c>
    </row>
    <row r="30" customFormat="false" ht="15" hidden="false" customHeight="false" outlineLevel="0" collapsed="false">
      <c r="A30" s="15" t="s">
        <v>239</v>
      </c>
      <c r="B30" s="36" t="str">
        <f aca="false">IF(MAX('Moteur prudent'!$D$91:$AM$91)&gt;=MAX('Moteur prudent'!$D$6:$AM$6),"après "&amp;INDEX('Moteur prudent'!$D$7:$AM$7,MAX('Moteur prudent'!$D$6:$AM$6)),INDEX('Moteur prudent'!$D$7:$AM$7,MAX('Moteur prudent'!$D$91:$AM$91)+1))</f>
        <v>après déc. 2029</v>
      </c>
      <c r="C30" s="36" t="str">
        <f aca="false">IF(MAX('Moteur central'!$D$91:$AM$91)&gt;=MAX('Moteur central'!$D$6:$AM$6),"après "&amp;INDEX('Moteur central'!$D$7:$AM$7,MAX('Moteur central'!$D$6:$AM$6)),INDEX('Moteur central'!$D$7:$AM$7,MAX('Moteur central'!$D$91:$AM$91)+1))</f>
        <v>sept. 2029</v>
      </c>
      <c r="D30" s="36" t="str">
        <f aca="false">IF(MAX('Moteur ambitieux'!$D$91:$AM$91)&gt;=MAX('Moteur ambitieux'!$D$6:$AM$6),"après "&amp;INDEX('Moteur ambitieux'!$D$7:$AM$7,MAX('Moteur ambitieux'!$D$6:$AM$6)),INDEX('Moteur ambitieux'!$D$7:$AM$7,MAX('Moteur ambitieux'!$D$91:$AM$91)+1))</f>
        <v>sept. 2028</v>
      </c>
      <c r="E30" s="16"/>
    </row>
    <row r="32" customFormat="false" ht="15" hidden="false" customHeight="false" outlineLevel="0" collapsed="false">
      <c r="A32" s="39" t="s">
        <v>373</v>
      </c>
    </row>
    <row r="33" customFormat="false" ht="15" hidden="false" customHeight="false" outlineLevel="0" collapsed="false">
      <c r="A33" s="10" t="s">
        <v>374</v>
      </c>
    </row>
    <row r="34" customFormat="false" ht="15" hidden="false" customHeight="false" outlineLevel="0" collapsed="false">
      <c r="A34" s="10" t="s">
        <v>375</v>
      </c>
    </row>
    <row r="35" customFormat="false" ht="15" hidden="false" customHeight="false" outlineLevel="0" collapsed="false">
      <c r="A35" s="10" t="s">
        <v>376</v>
      </c>
    </row>
    <row r="36" customFormat="false" ht="15" hidden="false" customHeight="false" outlineLevel="0" collapsed="false">
      <c r="A36" s="10" t="s">
        <v>377</v>
      </c>
    </row>
  </sheetData>
  <conditionalFormatting sqref="B25:D25">
    <cfRule type="cellIs" priority="2" operator="lessThan" aboveAverage="0" equalAverage="0" bottom="0" percent="0" rank="0" text="" dxfId="0">
      <formula>0</formula>
    </cfRule>
  </conditionalFormatting>
  <conditionalFormatting sqref="B29:D29">
    <cfRule type="cellIs" priority="3" operator="lessThan" aboveAverage="0" equalAverage="0" bottom="0" percent="0" rank="0" text="" dxfId="0">
      <formula>0</formula>
    </cfRule>
  </conditionalFormatting>
  <conditionalFormatting sqref="B20:D20">
    <cfRule type="cellIs" priority="4" operator="notEqual" aboveAverage="0" equalAverage="0" bottom="0" percent="0" rank="0" text="" dxfId="0">
      <formula>"atteint"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B4BA"/>
    <pageSetUpPr fitToPage="false"/>
  </sheetPr>
  <dimension ref="A1:AR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39" min="4" style="0" width="10.51"/>
    <col collapsed="false" customWidth="true" hidden="false" outlineLevel="0" max="40" min="40" style="0" width="3"/>
    <col collapsed="false" customWidth="true" hidden="false" outlineLevel="0" max="43" min="41" style="0" width="12.5"/>
  </cols>
  <sheetData>
    <row r="1" customFormat="false" ht="17.35" hidden="false" customHeight="false" outlineLevel="0" collapsed="false">
      <c r="A1" s="1" t="s">
        <v>378</v>
      </c>
    </row>
    <row r="2" customFormat="false" ht="15" hidden="false" customHeight="false" outlineLevel="0" collapsed="false">
      <c r="A2" s="2" t="s">
        <v>379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customFormat="false" ht="15" hidden="false" customHeight="false" outlineLevel="0" collapsed="false">
      <c r="A4" s="13" t="s">
        <v>380</v>
      </c>
      <c r="D4" s="49" t="n">
        <f aca="false">annee_debut+INT((D$6-1)/12)</f>
        <v>2027</v>
      </c>
      <c r="E4" s="49" t="n">
        <f aca="false">annee_debut+INT((E$6-1)/12)</f>
        <v>2027</v>
      </c>
      <c r="F4" s="49" t="n">
        <f aca="false">annee_debut+INT((F$6-1)/12)</f>
        <v>2027</v>
      </c>
      <c r="G4" s="49" t="n">
        <f aca="false">annee_debut+INT((G$6-1)/12)</f>
        <v>2027</v>
      </c>
      <c r="H4" s="49" t="n">
        <f aca="false">annee_debut+INT((H$6-1)/12)</f>
        <v>2027</v>
      </c>
      <c r="I4" s="49" t="n">
        <f aca="false">annee_debut+INT((I$6-1)/12)</f>
        <v>2027</v>
      </c>
      <c r="J4" s="49" t="n">
        <f aca="false">annee_debut+INT((J$6-1)/12)</f>
        <v>2027</v>
      </c>
      <c r="K4" s="49" t="n">
        <f aca="false">annee_debut+INT((K$6-1)/12)</f>
        <v>2027</v>
      </c>
      <c r="L4" s="49" t="n">
        <f aca="false">annee_debut+INT((L$6-1)/12)</f>
        <v>2027</v>
      </c>
      <c r="M4" s="49" t="n">
        <f aca="false">annee_debut+INT((M$6-1)/12)</f>
        <v>2027</v>
      </c>
      <c r="N4" s="49" t="n">
        <f aca="false">annee_debut+INT((N$6-1)/12)</f>
        <v>2027</v>
      </c>
      <c r="O4" s="49" t="n">
        <f aca="false">annee_debut+INT((O$6-1)/12)</f>
        <v>2027</v>
      </c>
      <c r="P4" s="49" t="n">
        <f aca="false">annee_debut+INT((P$6-1)/12)</f>
        <v>2028</v>
      </c>
      <c r="Q4" s="49" t="n">
        <f aca="false">annee_debut+INT((Q$6-1)/12)</f>
        <v>2028</v>
      </c>
      <c r="R4" s="49" t="n">
        <f aca="false">annee_debut+INT((R$6-1)/12)</f>
        <v>2028</v>
      </c>
      <c r="S4" s="49" t="n">
        <f aca="false">annee_debut+INT((S$6-1)/12)</f>
        <v>2028</v>
      </c>
      <c r="T4" s="49" t="n">
        <f aca="false">annee_debut+INT((T$6-1)/12)</f>
        <v>2028</v>
      </c>
      <c r="U4" s="49" t="n">
        <f aca="false">annee_debut+INT((U$6-1)/12)</f>
        <v>2028</v>
      </c>
      <c r="V4" s="49" t="n">
        <f aca="false">annee_debut+INT((V$6-1)/12)</f>
        <v>2028</v>
      </c>
      <c r="W4" s="49" t="n">
        <f aca="false">annee_debut+INT((W$6-1)/12)</f>
        <v>2028</v>
      </c>
      <c r="X4" s="49" t="n">
        <f aca="false">annee_debut+INT((X$6-1)/12)</f>
        <v>2028</v>
      </c>
      <c r="Y4" s="49" t="n">
        <f aca="false">annee_debut+INT((Y$6-1)/12)</f>
        <v>2028</v>
      </c>
      <c r="Z4" s="49" t="n">
        <f aca="false">annee_debut+INT((Z$6-1)/12)</f>
        <v>2028</v>
      </c>
      <c r="AA4" s="49" t="n">
        <f aca="false">annee_debut+INT((AA$6-1)/12)</f>
        <v>2028</v>
      </c>
      <c r="AB4" s="49" t="n">
        <f aca="false">annee_debut+INT((AB$6-1)/12)</f>
        <v>2029</v>
      </c>
      <c r="AC4" s="49" t="n">
        <f aca="false">annee_debut+INT((AC$6-1)/12)</f>
        <v>2029</v>
      </c>
      <c r="AD4" s="49" t="n">
        <f aca="false">annee_debut+INT((AD$6-1)/12)</f>
        <v>2029</v>
      </c>
      <c r="AE4" s="49" t="n">
        <f aca="false">annee_debut+INT((AE$6-1)/12)</f>
        <v>2029</v>
      </c>
      <c r="AF4" s="49" t="n">
        <f aca="false">annee_debut+INT((AF$6-1)/12)</f>
        <v>2029</v>
      </c>
      <c r="AG4" s="49" t="n">
        <f aca="false">annee_debut+INT((AG$6-1)/12)</f>
        <v>2029</v>
      </c>
      <c r="AH4" s="49" t="n">
        <f aca="false">annee_debut+INT((AH$6-1)/12)</f>
        <v>2029</v>
      </c>
      <c r="AI4" s="49" t="n">
        <f aca="false">annee_debut+INT((AI$6-1)/12)</f>
        <v>2029</v>
      </c>
      <c r="AJ4" s="49" t="n">
        <f aca="false">annee_debut+INT((AJ$6-1)/12)</f>
        <v>2029</v>
      </c>
      <c r="AK4" s="49" t="n">
        <f aca="false">annee_debut+INT((AK$6-1)/12)</f>
        <v>2029</v>
      </c>
      <c r="AL4" s="49" t="n">
        <f aca="false">annee_debut+INT((AL$6-1)/12)</f>
        <v>2029</v>
      </c>
      <c r="AM4" s="49" t="n">
        <f aca="false">annee_debut+INT((AM$6-1)/12)</f>
        <v>2029</v>
      </c>
      <c r="AO4" s="49" t="n">
        <f aca="false">annee_debut+0</f>
        <v>2027</v>
      </c>
      <c r="AP4" s="49" t="n">
        <f aca="false">annee_debut+1</f>
        <v>2028</v>
      </c>
      <c r="AQ4" s="49" t="n">
        <f aca="false">annee_debut+2</f>
        <v>2029</v>
      </c>
    </row>
    <row r="5" customFormat="false" ht="15" hidden="false" customHeight="false" outlineLevel="0" collapsed="false">
      <c r="A5" s="13" t="s">
        <v>381</v>
      </c>
      <c r="D5" s="13" t="n">
        <f aca="false">MOD(D$6-1,12)+1</f>
        <v>1</v>
      </c>
      <c r="E5" s="13" t="n">
        <f aca="false">MOD(E$6-1,12)+1</f>
        <v>2</v>
      </c>
      <c r="F5" s="13" t="n">
        <f aca="false">MOD(F$6-1,12)+1</f>
        <v>3</v>
      </c>
      <c r="G5" s="13" t="n">
        <f aca="false">MOD(G$6-1,12)+1</f>
        <v>4</v>
      </c>
      <c r="H5" s="13" t="n">
        <f aca="false">MOD(H$6-1,12)+1</f>
        <v>5</v>
      </c>
      <c r="I5" s="13" t="n">
        <f aca="false">MOD(I$6-1,12)+1</f>
        <v>6</v>
      </c>
      <c r="J5" s="13" t="n">
        <f aca="false">MOD(J$6-1,12)+1</f>
        <v>7</v>
      </c>
      <c r="K5" s="13" t="n">
        <f aca="false">MOD(K$6-1,12)+1</f>
        <v>8</v>
      </c>
      <c r="L5" s="13" t="n">
        <f aca="false">MOD(L$6-1,12)+1</f>
        <v>9</v>
      </c>
      <c r="M5" s="13" t="n">
        <f aca="false">MOD(M$6-1,12)+1</f>
        <v>10</v>
      </c>
      <c r="N5" s="13" t="n">
        <f aca="false">MOD(N$6-1,12)+1</f>
        <v>11</v>
      </c>
      <c r="O5" s="13" t="n">
        <f aca="false">MOD(O$6-1,12)+1</f>
        <v>12</v>
      </c>
      <c r="P5" s="13" t="n">
        <f aca="false">MOD(P$6-1,12)+1</f>
        <v>1</v>
      </c>
      <c r="Q5" s="13" t="n">
        <f aca="false">MOD(Q$6-1,12)+1</f>
        <v>2</v>
      </c>
      <c r="R5" s="13" t="n">
        <f aca="false">MOD(R$6-1,12)+1</f>
        <v>3</v>
      </c>
      <c r="S5" s="13" t="n">
        <f aca="false">MOD(S$6-1,12)+1</f>
        <v>4</v>
      </c>
      <c r="T5" s="13" t="n">
        <f aca="false">MOD(T$6-1,12)+1</f>
        <v>5</v>
      </c>
      <c r="U5" s="13" t="n">
        <f aca="false">MOD(U$6-1,12)+1</f>
        <v>6</v>
      </c>
      <c r="V5" s="13" t="n">
        <f aca="false">MOD(V$6-1,12)+1</f>
        <v>7</v>
      </c>
      <c r="W5" s="13" t="n">
        <f aca="false">MOD(W$6-1,12)+1</f>
        <v>8</v>
      </c>
      <c r="X5" s="13" t="n">
        <f aca="false">MOD(X$6-1,12)+1</f>
        <v>9</v>
      </c>
      <c r="Y5" s="13" t="n">
        <f aca="false">MOD(Y$6-1,12)+1</f>
        <v>10</v>
      </c>
      <c r="Z5" s="13" t="n">
        <f aca="false">MOD(Z$6-1,12)+1</f>
        <v>11</v>
      </c>
      <c r="AA5" s="13" t="n">
        <f aca="false">MOD(AA$6-1,12)+1</f>
        <v>12</v>
      </c>
      <c r="AB5" s="13" t="n">
        <f aca="false">MOD(AB$6-1,12)+1</f>
        <v>1</v>
      </c>
      <c r="AC5" s="13" t="n">
        <f aca="false">MOD(AC$6-1,12)+1</f>
        <v>2</v>
      </c>
      <c r="AD5" s="13" t="n">
        <f aca="false">MOD(AD$6-1,12)+1</f>
        <v>3</v>
      </c>
      <c r="AE5" s="13" t="n">
        <f aca="false">MOD(AE$6-1,12)+1</f>
        <v>4</v>
      </c>
      <c r="AF5" s="13" t="n">
        <f aca="false">MOD(AF$6-1,12)+1</f>
        <v>5</v>
      </c>
      <c r="AG5" s="13" t="n">
        <f aca="false">MOD(AG$6-1,12)+1</f>
        <v>6</v>
      </c>
      <c r="AH5" s="13" t="n">
        <f aca="false">MOD(AH$6-1,12)+1</f>
        <v>7</v>
      </c>
      <c r="AI5" s="13" t="n">
        <f aca="false">MOD(AI$6-1,12)+1</f>
        <v>8</v>
      </c>
      <c r="AJ5" s="13" t="n">
        <f aca="false">MOD(AJ$6-1,12)+1</f>
        <v>9</v>
      </c>
      <c r="AK5" s="13" t="n">
        <f aca="false">MOD(AK$6-1,12)+1</f>
        <v>10</v>
      </c>
      <c r="AL5" s="13" t="n">
        <f aca="false">MOD(AL$6-1,12)+1</f>
        <v>11</v>
      </c>
      <c r="AM5" s="13" t="n">
        <f aca="false">MOD(AM$6-1,12)+1</f>
        <v>12</v>
      </c>
    </row>
    <row r="6" customFormat="false" ht="15" hidden="false" customHeight="false" outlineLevel="0" collapsed="false">
      <c r="A6" s="13" t="s">
        <v>382</v>
      </c>
      <c r="D6" s="13" t="n">
        <v>1</v>
      </c>
      <c r="E6" s="13" t="n">
        <v>2</v>
      </c>
      <c r="F6" s="13" t="n">
        <v>3</v>
      </c>
      <c r="G6" s="13" t="n">
        <v>4</v>
      </c>
      <c r="H6" s="13" t="n">
        <v>5</v>
      </c>
      <c r="I6" s="13" t="n">
        <v>6</v>
      </c>
      <c r="J6" s="13" t="n">
        <v>7</v>
      </c>
      <c r="K6" s="13" t="n">
        <v>8</v>
      </c>
      <c r="L6" s="13" t="n">
        <v>9</v>
      </c>
      <c r="M6" s="13" t="n">
        <v>10</v>
      </c>
      <c r="N6" s="13" t="n">
        <v>11</v>
      </c>
      <c r="O6" s="13" t="n">
        <v>12</v>
      </c>
      <c r="P6" s="13" t="n">
        <v>13</v>
      </c>
      <c r="Q6" s="13" t="n">
        <v>14</v>
      </c>
      <c r="R6" s="13" t="n">
        <v>15</v>
      </c>
      <c r="S6" s="13" t="n">
        <v>16</v>
      </c>
      <c r="T6" s="13" t="n">
        <v>17</v>
      </c>
      <c r="U6" s="13" t="n">
        <v>18</v>
      </c>
      <c r="V6" s="13" t="n">
        <v>19</v>
      </c>
      <c r="W6" s="13" t="n">
        <v>20</v>
      </c>
      <c r="X6" s="13" t="n">
        <v>21</v>
      </c>
      <c r="Y6" s="13" t="n">
        <v>22</v>
      </c>
      <c r="Z6" s="13" t="n">
        <v>23</v>
      </c>
      <c r="AA6" s="13" t="n">
        <v>24</v>
      </c>
      <c r="AB6" s="13" t="n">
        <v>25</v>
      </c>
      <c r="AC6" s="13" t="n">
        <v>26</v>
      </c>
      <c r="AD6" s="13" t="n">
        <v>27</v>
      </c>
      <c r="AE6" s="13" t="n">
        <v>28</v>
      </c>
      <c r="AF6" s="13" t="n">
        <v>29</v>
      </c>
      <c r="AG6" s="13" t="n">
        <v>30</v>
      </c>
      <c r="AH6" s="13" t="n">
        <v>31</v>
      </c>
      <c r="AI6" s="13" t="n">
        <v>32</v>
      </c>
      <c r="AJ6" s="13" t="n">
        <v>33</v>
      </c>
      <c r="AK6" s="13" t="n">
        <v>34</v>
      </c>
      <c r="AL6" s="13" t="n">
        <v>35</v>
      </c>
      <c r="AM6" s="13" t="n">
        <v>36</v>
      </c>
    </row>
    <row r="7" customFormat="false" ht="15" hidden="false" customHeight="false" outlineLevel="0" collapsed="false">
      <c r="A7" s="14" t="s">
        <v>383</v>
      </c>
      <c r="B7" s="14" t="s">
        <v>52</v>
      </c>
      <c r="C7" s="43" t="s">
        <v>384</v>
      </c>
      <c r="D7" s="43" t="str">
        <f aca="false">CHOOSE(D$5,"janv.","févr.","mars","avr.","mai","juin","juil.","août","sept.","oct.","nov.","déc.")&amp;" "&amp;D$4</f>
        <v>janv. 2027</v>
      </c>
      <c r="E7" s="43" t="str">
        <f aca="false">CHOOSE(E$5,"janv.","févr.","mars","avr.","mai","juin","juil.","août","sept.","oct.","nov.","déc.")&amp;" "&amp;E$4</f>
        <v>févr. 2027</v>
      </c>
      <c r="F7" s="43" t="str">
        <f aca="false">CHOOSE(F$5,"janv.","févr.","mars","avr.","mai","juin","juil.","août","sept.","oct.","nov.","déc.")&amp;" "&amp;F$4</f>
        <v>mars 2027</v>
      </c>
      <c r="G7" s="43" t="str">
        <f aca="false">CHOOSE(G$5,"janv.","févr.","mars","avr.","mai","juin","juil.","août","sept.","oct.","nov.","déc.")&amp;" "&amp;G$4</f>
        <v>avr. 2027</v>
      </c>
      <c r="H7" s="43" t="str">
        <f aca="false">CHOOSE(H$5,"janv.","févr.","mars","avr.","mai","juin","juil.","août","sept.","oct.","nov.","déc.")&amp;" "&amp;H$4</f>
        <v>mai 2027</v>
      </c>
      <c r="I7" s="43" t="str">
        <f aca="false">CHOOSE(I$5,"janv.","févr.","mars","avr.","mai","juin","juil.","août","sept.","oct.","nov.","déc.")&amp;" "&amp;I$4</f>
        <v>juin 2027</v>
      </c>
      <c r="J7" s="43" t="str">
        <f aca="false">CHOOSE(J$5,"janv.","févr.","mars","avr.","mai","juin","juil.","août","sept.","oct.","nov.","déc.")&amp;" "&amp;J$4</f>
        <v>juil. 2027</v>
      </c>
      <c r="K7" s="43" t="str">
        <f aca="false">CHOOSE(K$5,"janv.","févr.","mars","avr.","mai","juin","juil.","août","sept.","oct.","nov.","déc.")&amp;" "&amp;K$4</f>
        <v>août 2027</v>
      </c>
      <c r="L7" s="43" t="str">
        <f aca="false">CHOOSE(L$5,"janv.","févr.","mars","avr.","mai","juin","juil.","août","sept.","oct.","nov.","déc.")&amp;" "&amp;L$4</f>
        <v>sept. 2027</v>
      </c>
      <c r="M7" s="43" t="str">
        <f aca="false">CHOOSE(M$5,"janv.","févr.","mars","avr.","mai","juin","juil.","août","sept.","oct.","nov.","déc.")&amp;" "&amp;M$4</f>
        <v>oct. 2027</v>
      </c>
      <c r="N7" s="43" t="str">
        <f aca="false">CHOOSE(N$5,"janv.","févr.","mars","avr.","mai","juin","juil.","août","sept.","oct.","nov.","déc.")&amp;" "&amp;N$4</f>
        <v>nov. 2027</v>
      </c>
      <c r="O7" s="43" t="str">
        <f aca="false">CHOOSE(O$5,"janv.","févr.","mars","avr.","mai","juin","juil.","août","sept.","oct.","nov.","déc.")&amp;" "&amp;O$4</f>
        <v>déc. 2027</v>
      </c>
      <c r="P7" s="43" t="str">
        <f aca="false">CHOOSE(P$5,"janv.","févr.","mars","avr.","mai","juin","juil.","août","sept.","oct.","nov.","déc.")&amp;" "&amp;P$4</f>
        <v>janv. 2028</v>
      </c>
      <c r="Q7" s="43" t="str">
        <f aca="false">CHOOSE(Q$5,"janv.","févr.","mars","avr.","mai","juin","juil.","août","sept.","oct.","nov.","déc.")&amp;" "&amp;Q$4</f>
        <v>févr. 2028</v>
      </c>
      <c r="R7" s="43" t="str">
        <f aca="false">CHOOSE(R$5,"janv.","févr.","mars","avr.","mai","juin","juil.","août","sept.","oct.","nov.","déc.")&amp;" "&amp;R$4</f>
        <v>mars 2028</v>
      </c>
      <c r="S7" s="43" t="str">
        <f aca="false">CHOOSE(S$5,"janv.","févr.","mars","avr.","mai","juin","juil.","août","sept.","oct.","nov.","déc.")&amp;" "&amp;S$4</f>
        <v>avr. 2028</v>
      </c>
      <c r="T7" s="43" t="str">
        <f aca="false">CHOOSE(T$5,"janv.","févr.","mars","avr.","mai","juin","juil.","août","sept.","oct.","nov.","déc.")&amp;" "&amp;T$4</f>
        <v>mai 2028</v>
      </c>
      <c r="U7" s="43" t="str">
        <f aca="false">CHOOSE(U$5,"janv.","févr.","mars","avr.","mai","juin","juil.","août","sept.","oct.","nov.","déc.")&amp;" "&amp;U$4</f>
        <v>juin 2028</v>
      </c>
      <c r="V7" s="43" t="str">
        <f aca="false">CHOOSE(V$5,"janv.","févr.","mars","avr.","mai","juin","juil.","août","sept.","oct.","nov.","déc.")&amp;" "&amp;V$4</f>
        <v>juil. 2028</v>
      </c>
      <c r="W7" s="43" t="str">
        <f aca="false">CHOOSE(W$5,"janv.","févr.","mars","avr.","mai","juin","juil.","août","sept.","oct.","nov.","déc.")&amp;" "&amp;W$4</f>
        <v>août 2028</v>
      </c>
      <c r="X7" s="43" t="str">
        <f aca="false">CHOOSE(X$5,"janv.","févr.","mars","avr.","mai","juin","juil.","août","sept.","oct.","nov.","déc.")&amp;" "&amp;X$4</f>
        <v>sept. 2028</v>
      </c>
      <c r="Y7" s="43" t="str">
        <f aca="false">CHOOSE(Y$5,"janv.","févr.","mars","avr.","mai","juin","juil.","août","sept.","oct.","nov.","déc.")&amp;" "&amp;Y$4</f>
        <v>oct. 2028</v>
      </c>
      <c r="Z7" s="43" t="str">
        <f aca="false">CHOOSE(Z$5,"janv.","févr.","mars","avr.","mai","juin","juil.","août","sept.","oct.","nov.","déc.")&amp;" "&amp;Z$4</f>
        <v>nov. 2028</v>
      </c>
      <c r="AA7" s="43" t="str">
        <f aca="false">CHOOSE(AA$5,"janv.","févr.","mars","avr.","mai","juin","juil.","août","sept.","oct.","nov.","déc.")&amp;" "&amp;AA$4</f>
        <v>déc. 2028</v>
      </c>
      <c r="AB7" s="43" t="str">
        <f aca="false">CHOOSE(AB$5,"janv.","févr.","mars","avr.","mai","juin","juil.","août","sept.","oct.","nov.","déc.")&amp;" "&amp;AB$4</f>
        <v>janv. 2029</v>
      </c>
      <c r="AC7" s="43" t="str">
        <f aca="false">CHOOSE(AC$5,"janv.","févr.","mars","avr.","mai","juin","juil.","août","sept.","oct.","nov.","déc.")&amp;" "&amp;AC$4</f>
        <v>févr. 2029</v>
      </c>
      <c r="AD7" s="43" t="str">
        <f aca="false">CHOOSE(AD$5,"janv.","févr.","mars","avr.","mai","juin","juil.","août","sept.","oct.","nov.","déc.")&amp;" "&amp;AD$4</f>
        <v>mars 2029</v>
      </c>
      <c r="AE7" s="43" t="str">
        <f aca="false">CHOOSE(AE$5,"janv.","févr.","mars","avr.","mai","juin","juil.","août","sept.","oct.","nov.","déc.")&amp;" "&amp;AE$4</f>
        <v>avr. 2029</v>
      </c>
      <c r="AF7" s="43" t="str">
        <f aca="false">CHOOSE(AF$5,"janv.","févr.","mars","avr.","mai","juin","juil.","août","sept.","oct.","nov.","déc.")&amp;" "&amp;AF$4</f>
        <v>mai 2029</v>
      </c>
      <c r="AG7" s="43" t="str">
        <f aca="false">CHOOSE(AG$5,"janv.","févr.","mars","avr.","mai","juin","juil.","août","sept.","oct.","nov.","déc.")&amp;" "&amp;AG$4</f>
        <v>juin 2029</v>
      </c>
      <c r="AH7" s="43" t="str">
        <f aca="false">CHOOSE(AH$5,"janv.","févr.","mars","avr.","mai","juin","juil.","août","sept.","oct.","nov.","déc.")&amp;" "&amp;AH$4</f>
        <v>juil. 2029</v>
      </c>
      <c r="AI7" s="43" t="str">
        <f aca="false">CHOOSE(AI$5,"janv.","févr.","mars","avr.","mai","juin","juil.","août","sept.","oct.","nov.","déc.")&amp;" "&amp;AI$4</f>
        <v>août 2029</v>
      </c>
      <c r="AJ7" s="43" t="str">
        <f aca="false">CHOOSE(AJ$5,"janv.","févr.","mars","avr.","mai","juin","juil.","août","sept.","oct.","nov.","déc.")&amp;" "&amp;AJ$4</f>
        <v>sept. 2029</v>
      </c>
      <c r="AK7" s="43" t="str">
        <f aca="false">CHOOSE(AK$5,"janv.","févr.","mars","avr.","mai","juin","juil.","août","sept.","oct.","nov.","déc.")&amp;" "&amp;AK$4</f>
        <v>oct. 2029</v>
      </c>
      <c r="AL7" s="43" t="str">
        <f aca="false">CHOOSE(AL$5,"janv.","févr.","mars","avr.","mai","juin","juil.","août","sept.","oct.","nov.","déc.")&amp;" "&amp;AL$4</f>
        <v>nov. 2029</v>
      </c>
      <c r="AM7" s="43" t="str">
        <f aca="false">CHOOSE(AM$5,"janv.","févr.","mars","avr.","mai","juin","juil.","août","sept.","oct.","nov.","déc.")&amp;" "&amp;AM$4</f>
        <v>déc. 2029</v>
      </c>
      <c r="AO7" s="31" t="n">
        <f aca="false">AO$4</f>
        <v>2027</v>
      </c>
      <c r="AP7" s="31" t="n">
        <f aca="false">AP$4</f>
        <v>2028</v>
      </c>
      <c r="AQ7" s="31" t="n">
        <f aca="false">AQ$4</f>
        <v>2029</v>
      </c>
    </row>
    <row r="8" customFormat="false" ht="15" hidden="false" customHeight="false" outlineLevel="0" collapsed="false">
      <c r="A8" s="5" t="s">
        <v>385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</row>
    <row r="9" customFormat="false" ht="15" hidden="false" customHeight="false" outlineLevel="0" collapsed="false">
      <c r="A9" s="10" t="s">
        <v>386</v>
      </c>
      <c r="B9" s="13" t="s">
        <v>59</v>
      </c>
      <c r="C9" s="50" t="n">
        <v>0</v>
      </c>
      <c r="D9" s="45" t="n">
        <f aca="false">CHOOSE(D$4-annee_debut+1,nouveaux_a1_p,nouveaux_a2_p,nouveaux_a3_p)</f>
        <v>4</v>
      </c>
      <c r="E9" s="45" t="n">
        <f aca="false">CHOOSE(E$4-annee_debut+1,nouveaux_a1_p,nouveaux_a2_p,nouveaux_a3_p)</f>
        <v>4</v>
      </c>
      <c r="F9" s="45" t="n">
        <f aca="false">CHOOSE(F$4-annee_debut+1,nouveaux_a1_p,nouveaux_a2_p,nouveaux_a3_p)</f>
        <v>4</v>
      </c>
      <c r="G9" s="45" t="n">
        <f aca="false">CHOOSE(G$4-annee_debut+1,nouveaux_a1_p,nouveaux_a2_p,nouveaux_a3_p)</f>
        <v>4</v>
      </c>
      <c r="H9" s="45" t="n">
        <f aca="false">CHOOSE(H$4-annee_debut+1,nouveaux_a1_p,nouveaux_a2_p,nouveaux_a3_p)</f>
        <v>4</v>
      </c>
      <c r="I9" s="45" t="n">
        <f aca="false">CHOOSE(I$4-annee_debut+1,nouveaux_a1_p,nouveaux_a2_p,nouveaux_a3_p)</f>
        <v>4</v>
      </c>
      <c r="J9" s="45" t="n">
        <f aca="false">CHOOSE(J$4-annee_debut+1,nouveaux_a1_p,nouveaux_a2_p,nouveaux_a3_p)</f>
        <v>4</v>
      </c>
      <c r="K9" s="45" t="n">
        <f aca="false">CHOOSE(K$4-annee_debut+1,nouveaux_a1_p,nouveaux_a2_p,nouveaux_a3_p)</f>
        <v>4</v>
      </c>
      <c r="L9" s="45" t="n">
        <f aca="false">CHOOSE(L$4-annee_debut+1,nouveaux_a1_p,nouveaux_a2_p,nouveaux_a3_p)</f>
        <v>4</v>
      </c>
      <c r="M9" s="45" t="n">
        <f aca="false">CHOOSE(M$4-annee_debut+1,nouveaux_a1_p,nouveaux_a2_p,nouveaux_a3_p)</f>
        <v>4</v>
      </c>
      <c r="N9" s="45" t="n">
        <f aca="false">CHOOSE(N$4-annee_debut+1,nouveaux_a1_p,nouveaux_a2_p,nouveaux_a3_p)</f>
        <v>4</v>
      </c>
      <c r="O9" s="45" t="n">
        <f aca="false">CHOOSE(O$4-annee_debut+1,nouveaux_a1_p,nouveaux_a2_p,nouveaux_a3_p)</f>
        <v>4</v>
      </c>
      <c r="P9" s="45" t="n">
        <f aca="false">CHOOSE(P$4-annee_debut+1,nouveaux_a1_p,nouveaux_a2_p,nouveaux_a3_p)</f>
        <v>7</v>
      </c>
      <c r="Q9" s="45" t="n">
        <f aca="false">CHOOSE(Q$4-annee_debut+1,nouveaux_a1_p,nouveaux_a2_p,nouveaux_a3_p)</f>
        <v>7</v>
      </c>
      <c r="R9" s="45" t="n">
        <f aca="false">CHOOSE(R$4-annee_debut+1,nouveaux_a1_p,nouveaux_a2_p,nouveaux_a3_p)</f>
        <v>7</v>
      </c>
      <c r="S9" s="45" t="n">
        <f aca="false">CHOOSE(S$4-annee_debut+1,nouveaux_a1_p,nouveaux_a2_p,nouveaux_a3_p)</f>
        <v>7</v>
      </c>
      <c r="T9" s="45" t="n">
        <f aca="false">CHOOSE(T$4-annee_debut+1,nouveaux_a1_p,nouveaux_a2_p,nouveaux_a3_p)</f>
        <v>7</v>
      </c>
      <c r="U9" s="45" t="n">
        <f aca="false">CHOOSE(U$4-annee_debut+1,nouveaux_a1_p,nouveaux_a2_p,nouveaux_a3_p)</f>
        <v>7</v>
      </c>
      <c r="V9" s="45" t="n">
        <f aca="false">CHOOSE(V$4-annee_debut+1,nouveaux_a1_p,nouveaux_a2_p,nouveaux_a3_p)</f>
        <v>7</v>
      </c>
      <c r="W9" s="45" t="n">
        <f aca="false">CHOOSE(W$4-annee_debut+1,nouveaux_a1_p,nouveaux_a2_p,nouveaux_a3_p)</f>
        <v>7</v>
      </c>
      <c r="X9" s="45" t="n">
        <f aca="false">CHOOSE(X$4-annee_debut+1,nouveaux_a1_p,nouveaux_a2_p,nouveaux_a3_p)</f>
        <v>7</v>
      </c>
      <c r="Y9" s="45" t="n">
        <f aca="false">CHOOSE(Y$4-annee_debut+1,nouveaux_a1_p,nouveaux_a2_p,nouveaux_a3_p)</f>
        <v>7</v>
      </c>
      <c r="Z9" s="45" t="n">
        <f aca="false">CHOOSE(Z$4-annee_debut+1,nouveaux_a1_p,nouveaux_a2_p,nouveaux_a3_p)</f>
        <v>7</v>
      </c>
      <c r="AA9" s="45" t="n">
        <f aca="false">CHOOSE(AA$4-annee_debut+1,nouveaux_a1_p,nouveaux_a2_p,nouveaux_a3_p)</f>
        <v>7</v>
      </c>
      <c r="AB9" s="45" t="n">
        <f aca="false">CHOOSE(AB$4-annee_debut+1,nouveaux_a1_p,nouveaux_a2_p,nouveaux_a3_p)</f>
        <v>9</v>
      </c>
      <c r="AC9" s="45" t="n">
        <f aca="false">CHOOSE(AC$4-annee_debut+1,nouveaux_a1_p,nouveaux_a2_p,nouveaux_a3_p)</f>
        <v>9</v>
      </c>
      <c r="AD9" s="45" t="n">
        <f aca="false">CHOOSE(AD$4-annee_debut+1,nouveaux_a1_p,nouveaux_a2_p,nouveaux_a3_p)</f>
        <v>9</v>
      </c>
      <c r="AE9" s="45" t="n">
        <f aca="false">CHOOSE(AE$4-annee_debut+1,nouveaux_a1_p,nouveaux_a2_p,nouveaux_a3_p)</f>
        <v>9</v>
      </c>
      <c r="AF9" s="45" t="n">
        <f aca="false">CHOOSE(AF$4-annee_debut+1,nouveaux_a1_p,nouveaux_a2_p,nouveaux_a3_p)</f>
        <v>9</v>
      </c>
      <c r="AG9" s="45" t="n">
        <f aca="false">CHOOSE(AG$4-annee_debut+1,nouveaux_a1_p,nouveaux_a2_p,nouveaux_a3_p)</f>
        <v>9</v>
      </c>
      <c r="AH9" s="45" t="n">
        <f aca="false">CHOOSE(AH$4-annee_debut+1,nouveaux_a1_p,nouveaux_a2_p,nouveaux_a3_p)</f>
        <v>9</v>
      </c>
      <c r="AI9" s="45" t="n">
        <f aca="false">CHOOSE(AI$4-annee_debut+1,nouveaux_a1_p,nouveaux_a2_p,nouveaux_a3_p)</f>
        <v>9</v>
      </c>
      <c r="AJ9" s="45" t="n">
        <f aca="false">CHOOSE(AJ$4-annee_debut+1,nouveaux_a1_p,nouveaux_a2_p,nouveaux_a3_p)</f>
        <v>9</v>
      </c>
      <c r="AK9" s="45" t="n">
        <f aca="false">CHOOSE(AK$4-annee_debut+1,nouveaux_a1_p,nouveaux_a2_p,nouveaux_a3_p)</f>
        <v>9</v>
      </c>
      <c r="AL9" s="45" t="n">
        <f aca="false">CHOOSE(AL$4-annee_debut+1,nouveaux_a1_p,nouveaux_a2_p,nouveaux_a3_p)</f>
        <v>9</v>
      </c>
      <c r="AM9" s="45" t="n">
        <f aca="false">CHOOSE(AM$4-annee_debut+1,nouveaux_a1_p,nouveaux_a2_p,nouveaux_a3_p)</f>
        <v>9</v>
      </c>
      <c r="AO9" s="45" t="n">
        <f aca="false">SUMIF($D$4:$AM$4,AO$4,$D9:$AM9)</f>
        <v>48</v>
      </c>
      <c r="AP9" s="45" t="n">
        <f aca="false">SUMIF($D$4:$AM$4,AP$4,$D9:$AM9)</f>
        <v>84</v>
      </c>
      <c r="AQ9" s="45" t="n">
        <f aca="false">SUMIF($D$4:$AM$4,AQ$4,$D9:$AM9)</f>
        <v>108</v>
      </c>
    </row>
    <row r="10" customFormat="false" ht="15" hidden="false" customHeight="false" outlineLevel="0" collapsed="false">
      <c r="A10" s="11" t="s">
        <v>387</v>
      </c>
      <c r="B10" s="13" t="s">
        <v>59</v>
      </c>
      <c r="C10" s="51" t="n">
        <v>0</v>
      </c>
      <c r="D10" s="52" t="n">
        <f aca="false">C10*(1-attrition_p)+D9</f>
        <v>4</v>
      </c>
      <c r="E10" s="52" t="n">
        <f aca="false">D10*(1-attrition_p)+E9</f>
        <v>7.92</v>
      </c>
      <c r="F10" s="52" t="n">
        <f aca="false">E10*(1-attrition_p)+F9</f>
        <v>11.7616</v>
      </c>
      <c r="G10" s="52" t="n">
        <f aca="false">F10*(1-attrition_p)+G9</f>
        <v>15.526368</v>
      </c>
      <c r="H10" s="52" t="n">
        <f aca="false">G10*(1-attrition_p)+H9</f>
        <v>19.21584064</v>
      </c>
      <c r="I10" s="52" t="n">
        <f aca="false">H10*(1-attrition_p)+I9</f>
        <v>22.8315238272</v>
      </c>
      <c r="J10" s="52" t="n">
        <f aca="false">I10*(1-attrition_p)+J9</f>
        <v>26.374893350656</v>
      </c>
      <c r="K10" s="52" t="n">
        <f aca="false">J10*(1-attrition_p)+K9</f>
        <v>29.8473954836429</v>
      </c>
      <c r="L10" s="52" t="n">
        <f aca="false">K10*(1-attrition_p)+L9</f>
        <v>33.25044757397</v>
      </c>
      <c r="M10" s="52" t="n">
        <f aca="false">L10*(1-attrition_p)+M9</f>
        <v>36.5854386224906</v>
      </c>
      <c r="N10" s="52" t="n">
        <f aca="false">M10*(1-attrition_p)+N9</f>
        <v>39.8537298500408</v>
      </c>
      <c r="O10" s="52" t="n">
        <f aca="false">N10*(1-attrition_p)+O9</f>
        <v>43.05665525304</v>
      </c>
      <c r="P10" s="52" t="n">
        <f aca="false">O10*(1-attrition_p)+P9</f>
        <v>49.1955221479792</v>
      </c>
      <c r="Q10" s="52" t="n">
        <f aca="false">P10*(1-attrition_p)+Q9</f>
        <v>55.2116117050196</v>
      </c>
      <c r="R10" s="52" t="n">
        <f aca="false">Q10*(1-attrition_p)+R9</f>
        <v>61.1073794709192</v>
      </c>
      <c r="S10" s="52" t="n">
        <f aca="false">R10*(1-attrition_p)+S9</f>
        <v>66.8852318815008</v>
      </c>
      <c r="T10" s="52" t="n">
        <f aca="false">S10*(1-attrition_p)+T9</f>
        <v>72.5475272438708</v>
      </c>
      <c r="U10" s="52" t="n">
        <f aca="false">T10*(1-attrition_p)+U9</f>
        <v>78.0965766989934</v>
      </c>
      <c r="V10" s="52" t="n">
        <f aca="false">U10*(1-attrition_p)+V9</f>
        <v>83.5346451650135</v>
      </c>
      <c r="W10" s="52" t="n">
        <f aca="false">V10*(1-attrition_p)+W9</f>
        <v>88.8639522617133</v>
      </c>
      <c r="X10" s="52" t="n">
        <f aca="false">W10*(1-attrition_p)+X9</f>
        <v>94.086673216479</v>
      </c>
      <c r="Y10" s="52" t="n">
        <f aca="false">X10*(1-attrition_p)+Y9</f>
        <v>99.2049397521494</v>
      </c>
      <c r="Z10" s="52" t="n">
        <f aca="false">Y10*(1-attrition_p)+Z9</f>
        <v>104.220840957106</v>
      </c>
      <c r="AA10" s="52" t="n">
        <f aca="false">Z10*(1-attrition_p)+AA9</f>
        <v>109.136424137964</v>
      </c>
      <c r="AB10" s="52" t="n">
        <f aca="false">AA10*(1-attrition_p)+AB9</f>
        <v>115.953695655205</v>
      </c>
      <c r="AC10" s="52" t="n">
        <f aca="false">AB10*(1-attrition_p)+AC9</f>
        <v>122.634621742101</v>
      </c>
      <c r="AD10" s="52" t="n">
        <f aca="false">AC10*(1-attrition_p)+AD9</f>
        <v>129.181929307259</v>
      </c>
      <c r="AE10" s="52" t="n">
        <f aca="false">AD10*(1-attrition_p)+AE9</f>
        <v>135.598290721114</v>
      </c>
      <c r="AF10" s="52" t="n">
        <f aca="false">AE10*(1-attrition_p)+AF9</f>
        <v>141.886324906691</v>
      </c>
      <c r="AG10" s="52" t="n">
        <f aca="false">AF10*(1-attrition_p)+AG9</f>
        <v>148.048598408558</v>
      </c>
      <c r="AH10" s="52" t="n">
        <f aca="false">AG10*(1-attrition_p)+AH9</f>
        <v>154.087626440386</v>
      </c>
      <c r="AI10" s="52" t="n">
        <f aca="false">AH10*(1-attrition_p)+AI9</f>
        <v>160.005873911579</v>
      </c>
      <c r="AJ10" s="52" t="n">
        <f aca="false">AI10*(1-attrition_p)+AJ9</f>
        <v>165.805756433347</v>
      </c>
      <c r="AK10" s="52" t="n">
        <f aca="false">AJ10*(1-attrition_p)+AK9</f>
        <v>171.48964130468</v>
      </c>
      <c r="AL10" s="52" t="n">
        <f aca="false">AK10*(1-attrition_p)+AL9</f>
        <v>177.059848478587</v>
      </c>
      <c r="AM10" s="52" t="n">
        <f aca="false">AL10*(1-attrition_p)+AM9</f>
        <v>182.518651509015</v>
      </c>
      <c r="AO10" s="52" t="n">
        <f aca="false">INDEX($D10:$AM10,(AO$4-annee_debut)*12+12)</f>
        <v>43.05665525304</v>
      </c>
      <c r="AP10" s="52" t="n">
        <f aca="false">INDEX($D10:$AM10,(AP$4-annee_debut)*12+12)</f>
        <v>109.136424137964</v>
      </c>
      <c r="AQ10" s="52" t="n">
        <f aca="false">INDEX($D10:$AM10,(AQ$4-annee_debut)*12+12)</f>
        <v>182.518651509015</v>
      </c>
    </row>
    <row r="11" customFormat="false" ht="15" hidden="false" customHeight="false" outlineLevel="0" collapsed="false">
      <c r="A11" s="10" t="s">
        <v>388</v>
      </c>
      <c r="B11" s="13" t="s">
        <v>59</v>
      </c>
      <c r="C11" s="51" t="n">
        <v>0</v>
      </c>
      <c r="D11" s="53" t="n">
        <f aca="false">(C10+D10)/2</f>
        <v>2</v>
      </c>
      <c r="E11" s="53" t="n">
        <f aca="false">(D10+E10)/2</f>
        <v>5.96</v>
      </c>
      <c r="F11" s="53" t="n">
        <f aca="false">(E10+F10)/2</f>
        <v>9.8408</v>
      </c>
      <c r="G11" s="53" t="n">
        <f aca="false">(F10+G10)/2</f>
        <v>13.643984</v>
      </c>
      <c r="H11" s="53" t="n">
        <f aca="false">(G10+H10)/2</f>
        <v>17.37110432</v>
      </c>
      <c r="I11" s="53" t="n">
        <f aca="false">(H10+I10)/2</f>
        <v>21.0236822336</v>
      </c>
      <c r="J11" s="53" t="n">
        <f aca="false">(I10+J10)/2</f>
        <v>24.603208588928</v>
      </c>
      <c r="K11" s="53" t="n">
        <f aca="false">(J10+K10)/2</f>
        <v>28.1111444171494</v>
      </c>
      <c r="L11" s="53" t="n">
        <f aca="false">(K10+L10)/2</f>
        <v>31.5489215288065</v>
      </c>
      <c r="M11" s="53" t="n">
        <f aca="false">(L10+M10)/2</f>
        <v>34.9179430982303</v>
      </c>
      <c r="N11" s="53" t="n">
        <f aca="false">(M10+N10)/2</f>
        <v>38.2195842362657</v>
      </c>
      <c r="O11" s="53" t="n">
        <f aca="false">(N10+O10)/2</f>
        <v>41.4551925515404</v>
      </c>
      <c r="P11" s="53" t="n">
        <f aca="false">(O10+P10)/2</f>
        <v>46.1260887005096</v>
      </c>
      <c r="Q11" s="53" t="n">
        <f aca="false">(P10+Q10)/2</f>
        <v>52.2035669264994</v>
      </c>
      <c r="R11" s="53" t="n">
        <f aca="false">(Q10+R10)/2</f>
        <v>58.1594955879694</v>
      </c>
      <c r="S11" s="53" t="n">
        <f aca="false">(R10+S10)/2</f>
        <v>63.99630567621</v>
      </c>
      <c r="T11" s="53" t="n">
        <f aca="false">(S10+T10)/2</f>
        <v>69.7163795626858</v>
      </c>
      <c r="U11" s="53" t="n">
        <f aca="false">(T10+U10)/2</f>
        <v>75.3220519714321</v>
      </c>
      <c r="V11" s="53" t="n">
        <f aca="false">(U10+V10)/2</f>
        <v>80.8156109320035</v>
      </c>
      <c r="W11" s="53" t="n">
        <f aca="false">(V10+W10)/2</f>
        <v>86.1992987133634</v>
      </c>
      <c r="X11" s="53" t="n">
        <f aca="false">(W10+X10)/2</f>
        <v>91.4753127390961</v>
      </c>
      <c r="Y11" s="53" t="n">
        <f aca="false">(X10+Y10)/2</f>
        <v>96.6458064843142</v>
      </c>
      <c r="Z11" s="53" t="n">
        <f aca="false">(Y10+Z10)/2</f>
        <v>101.712890354628</v>
      </c>
      <c r="AA11" s="53" t="n">
        <f aca="false">(Z10+AA10)/2</f>
        <v>106.678632547535</v>
      </c>
      <c r="AB11" s="53" t="n">
        <f aca="false">(AA10+AB10)/2</f>
        <v>112.545059896585</v>
      </c>
      <c r="AC11" s="53" t="n">
        <f aca="false">(AB10+AC10)/2</f>
        <v>119.294158698653</v>
      </c>
      <c r="AD11" s="53" t="n">
        <f aca="false">(AC10+AD10)/2</f>
        <v>125.90827552468</v>
      </c>
      <c r="AE11" s="53" t="n">
        <f aca="false">(AD10+AE10)/2</f>
        <v>132.390110014186</v>
      </c>
      <c r="AF11" s="53" t="n">
        <f aca="false">(AE10+AF10)/2</f>
        <v>138.742307813903</v>
      </c>
      <c r="AG11" s="53" t="n">
        <f aca="false">(AF10+AG10)/2</f>
        <v>144.967461657624</v>
      </c>
      <c r="AH11" s="53" t="n">
        <f aca="false">(AG10+AH10)/2</f>
        <v>151.068112424472</v>
      </c>
      <c r="AI11" s="53" t="n">
        <f aca="false">(AH10+AI10)/2</f>
        <v>157.046750175983</v>
      </c>
      <c r="AJ11" s="53" t="n">
        <f aca="false">(AI10+AJ10)/2</f>
        <v>162.905815172463</v>
      </c>
      <c r="AK11" s="53" t="n">
        <f aca="false">(AJ10+AK10)/2</f>
        <v>168.647698869014</v>
      </c>
      <c r="AL11" s="53" t="n">
        <f aca="false">(AK10+AL10)/2</f>
        <v>174.274744891633</v>
      </c>
      <c r="AM11" s="53" t="n">
        <f aca="false">(AL10+AM10)/2</f>
        <v>179.789249993801</v>
      </c>
    </row>
    <row r="12" customFormat="false" ht="15" hidden="false" customHeight="false" outlineLevel="0" collapsed="false">
      <c r="A12" s="10" t="s">
        <v>389</v>
      </c>
      <c r="B12" s="13" t="s">
        <v>390</v>
      </c>
      <c r="C12" s="54" t="n">
        <v>0</v>
      </c>
      <c r="D12" s="55" t="n">
        <f aca="false">INDEX(saisonnalite,D$5)</f>
        <v>0.95</v>
      </c>
      <c r="E12" s="55" t="n">
        <f aca="false">INDEX(saisonnalite,E$5)</f>
        <v>0.95</v>
      </c>
      <c r="F12" s="55" t="n">
        <f aca="false">INDEX(saisonnalite,F$5)</f>
        <v>1</v>
      </c>
      <c r="G12" s="55" t="n">
        <f aca="false">INDEX(saisonnalite,G$5)</f>
        <v>1.02</v>
      </c>
      <c r="H12" s="55" t="n">
        <f aca="false">INDEX(saisonnalite,H$5)</f>
        <v>1.05</v>
      </c>
      <c r="I12" s="55" t="n">
        <f aca="false">INDEX(saisonnalite,I$5)</f>
        <v>1.08</v>
      </c>
      <c r="J12" s="55" t="n">
        <f aca="false">INDEX(saisonnalite,J$5)</f>
        <v>1.05</v>
      </c>
      <c r="K12" s="55" t="n">
        <f aca="false">INDEX(saisonnalite,K$5)</f>
        <v>0.8</v>
      </c>
      <c r="L12" s="55" t="n">
        <f aca="false">INDEX(saisonnalite,L$5)</f>
        <v>1.05</v>
      </c>
      <c r="M12" s="55" t="n">
        <f aca="false">INDEX(saisonnalite,M$5)</f>
        <v>1.03</v>
      </c>
      <c r="N12" s="55" t="n">
        <f aca="false">INDEX(saisonnalite,N$5)</f>
        <v>1</v>
      </c>
      <c r="O12" s="55" t="n">
        <f aca="false">INDEX(saisonnalite,O$5)</f>
        <v>1.02</v>
      </c>
      <c r="P12" s="55" t="n">
        <f aca="false">INDEX(saisonnalite,P$5)</f>
        <v>0.95</v>
      </c>
      <c r="Q12" s="55" t="n">
        <f aca="false">INDEX(saisonnalite,Q$5)</f>
        <v>0.95</v>
      </c>
      <c r="R12" s="55" t="n">
        <f aca="false">INDEX(saisonnalite,R$5)</f>
        <v>1</v>
      </c>
      <c r="S12" s="55" t="n">
        <f aca="false">INDEX(saisonnalite,S$5)</f>
        <v>1.02</v>
      </c>
      <c r="T12" s="55" t="n">
        <f aca="false">INDEX(saisonnalite,T$5)</f>
        <v>1.05</v>
      </c>
      <c r="U12" s="55" t="n">
        <f aca="false">INDEX(saisonnalite,U$5)</f>
        <v>1.08</v>
      </c>
      <c r="V12" s="55" t="n">
        <f aca="false">INDEX(saisonnalite,V$5)</f>
        <v>1.05</v>
      </c>
      <c r="W12" s="55" t="n">
        <f aca="false">INDEX(saisonnalite,W$5)</f>
        <v>0.8</v>
      </c>
      <c r="X12" s="55" t="n">
        <f aca="false">INDEX(saisonnalite,X$5)</f>
        <v>1.05</v>
      </c>
      <c r="Y12" s="55" t="n">
        <f aca="false">INDEX(saisonnalite,Y$5)</f>
        <v>1.03</v>
      </c>
      <c r="Z12" s="55" t="n">
        <f aca="false">INDEX(saisonnalite,Z$5)</f>
        <v>1</v>
      </c>
      <c r="AA12" s="55" t="n">
        <f aca="false">INDEX(saisonnalite,AA$5)</f>
        <v>1.02</v>
      </c>
      <c r="AB12" s="55" t="n">
        <f aca="false">INDEX(saisonnalite,AB$5)</f>
        <v>0.95</v>
      </c>
      <c r="AC12" s="55" t="n">
        <f aca="false">INDEX(saisonnalite,AC$5)</f>
        <v>0.95</v>
      </c>
      <c r="AD12" s="55" t="n">
        <f aca="false">INDEX(saisonnalite,AD$5)</f>
        <v>1</v>
      </c>
      <c r="AE12" s="55" t="n">
        <f aca="false">INDEX(saisonnalite,AE$5)</f>
        <v>1.02</v>
      </c>
      <c r="AF12" s="55" t="n">
        <f aca="false">INDEX(saisonnalite,AF$5)</f>
        <v>1.05</v>
      </c>
      <c r="AG12" s="55" t="n">
        <f aca="false">INDEX(saisonnalite,AG$5)</f>
        <v>1.08</v>
      </c>
      <c r="AH12" s="55" t="n">
        <f aca="false">INDEX(saisonnalite,AH$5)</f>
        <v>1.05</v>
      </c>
      <c r="AI12" s="55" t="n">
        <f aca="false">INDEX(saisonnalite,AI$5)</f>
        <v>0.8</v>
      </c>
      <c r="AJ12" s="55" t="n">
        <f aca="false">INDEX(saisonnalite,AJ$5)</f>
        <v>1.05</v>
      </c>
      <c r="AK12" s="55" t="n">
        <f aca="false">INDEX(saisonnalite,AK$5)</f>
        <v>1.03</v>
      </c>
      <c r="AL12" s="55" t="n">
        <f aca="false">INDEX(saisonnalite,AL$5)</f>
        <v>1</v>
      </c>
      <c r="AM12" s="55" t="n">
        <f aca="false">INDEX(saisonnalite,AM$5)</f>
        <v>1.02</v>
      </c>
    </row>
    <row r="13" customFormat="false" ht="15" hidden="false" customHeight="false" outlineLevel="0" collapsed="false">
      <c r="A13" s="11" t="s">
        <v>391</v>
      </c>
      <c r="B13" s="13" t="s">
        <v>59</v>
      </c>
      <c r="C13" s="50" t="n">
        <v>0</v>
      </c>
      <c r="D13" s="44" t="n">
        <f aca="false">D11*rotations_pdv_p*D12</f>
        <v>1140</v>
      </c>
      <c r="E13" s="44" t="n">
        <f aca="false">E11*rotations_pdv_p*E12</f>
        <v>3397.2</v>
      </c>
      <c r="F13" s="44" t="n">
        <f aca="false">F11*rotations_pdv_p*F12</f>
        <v>5904.48</v>
      </c>
      <c r="G13" s="44" t="n">
        <f aca="false">G11*rotations_pdv_p*G12</f>
        <v>8350.118208</v>
      </c>
      <c r="H13" s="44" t="n">
        <f aca="false">H11*rotations_pdv_p*H12</f>
        <v>10943.7957216</v>
      </c>
      <c r="I13" s="44" t="n">
        <f aca="false">I11*rotations_pdv_p*I12</f>
        <v>13623.3460873728</v>
      </c>
      <c r="J13" s="44" t="n">
        <f aca="false">J11*rotations_pdv_p*J12</f>
        <v>15500.0214110246</v>
      </c>
      <c r="K13" s="44" t="n">
        <f aca="false">K11*rotations_pdv_p*K12</f>
        <v>13493.3493202317</v>
      </c>
      <c r="L13" s="44" t="n">
        <f aca="false">L11*rotations_pdv_p*L12</f>
        <v>19875.8205631481</v>
      </c>
      <c r="M13" s="44" t="n">
        <f aca="false">M11*rotations_pdv_p*M12</f>
        <v>21579.2888347063</v>
      </c>
      <c r="N13" s="44" t="n">
        <f aca="false">N11*rotations_pdv_p*N12</f>
        <v>22931.7505417594</v>
      </c>
      <c r="O13" s="44" t="n">
        <f aca="false">O11*rotations_pdv_p*O12</f>
        <v>25370.5778415427</v>
      </c>
      <c r="P13" s="44" t="n">
        <f aca="false">P11*rotations_pdv_p*P12</f>
        <v>26291.8705592905</v>
      </c>
      <c r="Q13" s="44" t="n">
        <f aca="false">Q11*rotations_pdv_p*Q12</f>
        <v>29756.0331481047</v>
      </c>
      <c r="R13" s="44" t="n">
        <f aca="false">R11*rotations_pdv_p*R12</f>
        <v>34895.6973527816</v>
      </c>
      <c r="S13" s="44" t="n">
        <f aca="false">S11*rotations_pdv_p*S12</f>
        <v>39165.7390738405</v>
      </c>
      <c r="T13" s="44" t="n">
        <f aca="false">T11*rotations_pdv_p*T12</f>
        <v>43921.3191244921</v>
      </c>
      <c r="U13" s="44" t="n">
        <f aca="false">U11*rotations_pdv_p*U12</f>
        <v>48808.689677488</v>
      </c>
      <c r="V13" s="44" t="n">
        <f aca="false">V11*rotations_pdv_p*V12</f>
        <v>50913.8348871622</v>
      </c>
      <c r="W13" s="44" t="n">
        <f aca="false">W11*rotations_pdv_p*W12</f>
        <v>41375.6633824144</v>
      </c>
      <c r="X13" s="44" t="n">
        <f aca="false">X11*rotations_pdv_p*X12</f>
        <v>57629.4470256306</v>
      </c>
      <c r="Y13" s="44" t="n">
        <f aca="false">Y11*rotations_pdv_p*Y12</f>
        <v>59727.1084073062</v>
      </c>
      <c r="Z13" s="44" t="n">
        <f aca="false">Z11*rotations_pdv_p*Z12</f>
        <v>61027.7342127767</v>
      </c>
      <c r="AA13" s="44" t="n">
        <f aca="false">AA11*rotations_pdv_p*AA12</f>
        <v>65287.3231190916</v>
      </c>
      <c r="AB13" s="44" t="n">
        <f aca="false">AB11*rotations_pdv_p*AB12</f>
        <v>64150.6841410532</v>
      </c>
      <c r="AC13" s="44" t="n">
        <f aca="false">AC11*rotations_pdv_p*AC12</f>
        <v>67997.6704582322</v>
      </c>
      <c r="AD13" s="44" t="n">
        <f aca="false">AD11*rotations_pdv_p*AD12</f>
        <v>75544.9653148079</v>
      </c>
      <c r="AE13" s="44" t="n">
        <f aca="false">AE11*rotations_pdv_p*AE12</f>
        <v>81022.747328682</v>
      </c>
      <c r="AF13" s="44" t="n">
        <f aca="false">AF11*rotations_pdv_p*AF12</f>
        <v>87407.6539227586</v>
      </c>
      <c r="AG13" s="44" t="n">
        <f aca="false">AG11*rotations_pdv_p*AG12</f>
        <v>93938.9151541407</v>
      </c>
      <c r="AH13" s="44" t="n">
        <f aca="false">AH11*rotations_pdv_p*AH12</f>
        <v>95172.9108274173</v>
      </c>
      <c r="AI13" s="44" t="n">
        <f aca="false">AI11*rotations_pdv_p*AI12</f>
        <v>75382.4400844716</v>
      </c>
      <c r="AJ13" s="44" t="n">
        <f aca="false">AJ11*rotations_pdv_p*AJ12</f>
        <v>102630.663558652</v>
      </c>
      <c r="AK13" s="44" t="n">
        <f aca="false">AK11*rotations_pdv_p*AK12</f>
        <v>104224.27790105</v>
      </c>
      <c r="AL13" s="44" t="n">
        <f aca="false">AL11*rotations_pdv_p*AL12</f>
        <v>104564.84693498</v>
      </c>
      <c r="AM13" s="44" t="n">
        <f aca="false">AM11*rotations_pdv_p*AM12</f>
        <v>110031.020996206</v>
      </c>
      <c r="AO13" s="44" t="n">
        <f aca="false">SUMIF($D$4:$AM$4,AO$4,$D13:$AM13)</f>
        <v>162109.748529386</v>
      </c>
      <c r="AP13" s="44" t="n">
        <f aca="false">SUMIF($D$4:$AM$4,AP$4,$D13:$AM13)</f>
        <v>558800.459970379</v>
      </c>
      <c r="AQ13" s="44" t="n">
        <f aca="false">SUMIF($D$4:$AM$4,AQ$4,$D13:$AM13)</f>
        <v>1062068.79662245</v>
      </c>
    </row>
    <row r="14" customFormat="false" ht="15" hidden="false" customHeight="false" outlineLevel="0" collapsed="false">
      <c r="A14" s="10" t="s">
        <v>392</v>
      </c>
      <c r="B14" s="13" t="s">
        <v>390</v>
      </c>
      <c r="C14" s="56" t="n">
        <v>0</v>
      </c>
      <c r="D14" s="57" t="n">
        <f aca="false">(1+indexation_prix)^(D$4-annee_debut)</f>
        <v>1</v>
      </c>
      <c r="E14" s="57" t="n">
        <f aca="false">(1+indexation_prix)^(E$4-annee_debut)</f>
        <v>1</v>
      </c>
      <c r="F14" s="57" t="n">
        <f aca="false">(1+indexation_prix)^(F$4-annee_debut)</f>
        <v>1</v>
      </c>
      <c r="G14" s="57" t="n">
        <f aca="false">(1+indexation_prix)^(G$4-annee_debut)</f>
        <v>1</v>
      </c>
      <c r="H14" s="57" t="n">
        <f aca="false">(1+indexation_prix)^(H$4-annee_debut)</f>
        <v>1</v>
      </c>
      <c r="I14" s="57" t="n">
        <f aca="false">(1+indexation_prix)^(I$4-annee_debut)</f>
        <v>1</v>
      </c>
      <c r="J14" s="57" t="n">
        <f aca="false">(1+indexation_prix)^(J$4-annee_debut)</f>
        <v>1</v>
      </c>
      <c r="K14" s="57" t="n">
        <f aca="false">(1+indexation_prix)^(K$4-annee_debut)</f>
        <v>1</v>
      </c>
      <c r="L14" s="57" t="n">
        <f aca="false">(1+indexation_prix)^(L$4-annee_debut)</f>
        <v>1</v>
      </c>
      <c r="M14" s="57" t="n">
        <f aca="false">(1+indexation_prix)^(M$4-annee_debut)</f>
        <v>1</v>
      </c>
      <c r="N14" s="57" t="n">
        <f aca="false">(1+indexation_prix)^(N$4-annee_debut)</f>
        <v>1</v>
      </c>
      <c r="O14" s="57" t="n">
        <f aca="false">(1+indexation_prix)^(O$4-annee_debut)</f>
        <v>1</v>
      </c>
      <c r="P14" s="57" t="n">
        <f aca="false">(1+indexation_prix)^(P$4-annee_debut)</f>
        <v>1.02</v>
      </c>
      <c r="Q14" s="57" t="n">
        <f aca="false">(1+indexation_prix)^(Q$4-annee_debut)</f>
        <v>1.02</v>
      </c>
      <c r="R14" s="57" t="n">
        <f aca="false">(1+indexation_prix)^(R$4-annee_debut)</f>
        <v>1.02</v>
      </c>
      <c r="S14" s="57" t="n">
        <f aca="false">(1+indexation_prix)^(S$4-annee_debut)</f>
        <v>1.02</v>
      </c>
      <c r="T14" s="57" t="n">
        <f aca="false">(1+indexation_prix)^(T$4-annee_debut)</f>
        <v>1.02</v>
      </c>
      <c r="U14" s="57" t="n">
        <f aca="false">(1+indexation_prix)^(U$4-annee_debut)</f>
        <v>1.02</v>
      </c>
      <c r="V14" s="57" t="n">
        <f aca="false">(1+indexation_prix)^(V$4-annee_debut)</f>
        <v>1.02</v>
      </c>
      <c r="W14" s="57" t="n">
        <f aca="false">(1+indexation_prix)^(W$4-annee_debut)</f>
        <v>1.02</v>
      </c>
      <c r="X14" s="57" t="n">
        <f aca="false">(1+indexation_prix)^(X$4-annee_debut)</f>
        <v>1.02</v>
      </c>
      <c r="Y14" s="57" t="n">
        <f aca="false">(1+indexation_prix)^(Y$4-annee_debut)</f>
        <v>1.02</v>
      </c>
      <c r="Z14" s="57" t="n">
        <f aca="false">(1+indexation_prix)^(Z$4-annee_debut)</f>
        <v>1.02</v>
      </c>
      <c r="AA14" s="57" t="n">
        <f aca="false">(1+indexation_prix)^(AA$4-annee_debut)</f>
        <v>1.02</v>
      </c>
      <c r="AB14" s="57" t="n">
        <f aca="false">(1+indexation_prix)^(AB$4-annee_debut)</f>
        <v>1.0404</v>
      </c>
      <c r="AC14" s="57" t="n">
        <f aca="false">(1+indexation_prix)^(AC$4-annee_debut)</f>
        <v>1.0404</v>
      </c>
      <c r="AD14" s="57" t="n">
        <f aca="false">(1+indexation_prix)^(AD$4-annee_debut)</f>
        <v>1.0404</v>
      </c>
      <c r="AE14" s="57" t="n">
        <f aca="false">(1+indexation_prix)^(AE$4-annee_debut)</f>
        <v>1.0404</v>
      </c>
      <c r="AF14" s="57" t="n">
        <f aca="false">(1+indexation_prix)^(AF$4-annee_debut)</f>
        <v>1.0404</v>
      </c>
      <c r="AG14" s="57" t="n">
        <f aca="false">(1+indexation_prix)^(AG$4-annee_debut)</f>
        <v>1.0404</v>
      </c>
      <c r="AH14" s="57" t="n">
        <f aca="false">(1+indexation_prix)^(AH$4-annee_debut)</f>
        <v>1.0404</v>
      </c>
      <c r="AI14" s="57" t="n">
        <f aca="false">(1+indexation_prix)^(AI$4-annee_debut)</f>
        <v>1.0404</v>
      </c>
      <c r="AJ14" s="57" t="n">
        <f aca="false">(1+indexation_prix)^(AJ$4-annee_debut)</f>
        <v>1.0404</v>
      </c>
      <c r="AK14" s="57" t="n">
        <f aca="false">(1+indexation_prix)^(AK$4-annee_debut)</f>
        <v>1.0404</v>
      </c>
      <c r="AL14" s="57" t="n">
        <f aca="false">(1+indexation_prix)^(AL$4-annee_debut)</f>
        <v>1.0404</v>
      </c>
      <c r="AM14" s="57" t="n">
        <f aca="false">(1+indexation_prix)^(AM$4-annee_debut)</f>
        <v>1.0404</v>
      </c>
    </row>
    <row r="15" customFormat="false" ht="15" hidden="false" customHeight="false" outlineLevel="0" collapsed="false">
      <c r="A15" s="10" t="s">
        <v>393</v>
      </c>
      <c r="B15" s="13" t="s">
        <v>390</v>
      </c>
      <c r="C15" s="56" t="n">
        <v>0</v>
      </c>
      <c r="D15" s="57" t="n">
        <f aca="false">(1+inflation_couts)^(D$4-annee_debut)</f>
        <v>1</v>
      </c>
      <c r="E15" s="57" t="n">
        <f aca="false">(1+inflation_couts)^(E$4-annee_debut)</f>
        <v>1</v>
      </c>
      <c r="F15" s="57" t="n">
        <f aca="false">(1+inflation_couts)^(F$4-annee_debut)</f>
        <v>1</v>
      </c>
      <c r="G15" s="57" t="n">
        <f aca="false">(1+inflation_couts)^(G$4-annee_debut)</f>
        <v>1</v>
      </c>
      <c r="H15" s="57" t="n">
        <f aca="false">(1+inflation_couts)^(H$4-annee_debut)</f>
        <v>1</v>
      </c>
      <c r="I15" s="57" t="n">
        <f aca="false">(1+inflation_couts)^(I$4-annee_debut)</f>
        <v>1</v>
      </c>
      <c r="J15" s="57" t="n">
        <f aca="false">(1+inflation_couts)^(J$4-annee_debut)</f>
        <v>1</v>
      </c>
      <c r="K15" s="57" t="n">
        <f aca="false">(1+inflation_couts)^(K$4-annee_debut)</f>
        <v>1</v>
      </c>
      <c r="L15" s="57" t="n">
        <f aca="false">(1+inflation_couts)^(L$4-annee_debut)</f>
        <v>1</v>
      </c>
      <c r="M15" s="57" t="n">
        <f aca="false">(1+inflation_couts)^(M$4-annee_debut)</f>
        <v>1</v>
      </c>
      <c r="N15" s="57" t="n">
        <f aca="false">(1+inflation_couts)^(N$4-annee_debut)</f>
        <v>1</v>
      </c>
      <c r="O15" s="57" t="n">
        <f aca="false">(1+inflation_couts)^(O$4-annee_debut)</f>
        <v>1</v>
      </c>
      <c r="P15" s="57" t="n">
        <f aca="false">(1+inflation_couts)^(P$4-annee_debut)</f>
        <v>1.02</v>
      </c>
      <c r="Q15" s="57" t="n">
        <f aca="false">(1+inflation_couts)^(Q$4-annee_debut)</f>
        <v>1.02</v>
      </c>
      <c r="R15" s="57" t="n">
        <f aca="false">(1+inflation_couts)^(R$4-annee_debut)</f>
        <v>1.02</v>
      </c>
      <c r="S15" s="57" t="n">
        <f aca="false">(1+inflation_couts)^(S$4-annee_debut)</f>
        <v>1.02</v>
      </c>
      <c r="T15" s="57" t="n">
        <f aca="false">(1+inflation_couts)^(T$4-annee_debut)</f>
        <v>1.02</v>
      </c>
      <c r="U15" s="57" t="n">
        <f aca="false">(1+inflation_couts)^(U$4-annee_debut)</f>
        <v>1.02</v>
      </c>
      <c r="V15" s="57" t="n">
        <f aca="false">(1+inflation_couts)^(V$4-annee_debut)</f>
        <v>1.02</v>
      </c>
      <c r="W15" s="57" t="n">
        <f aca="false">(1+inflation_couts)^(W$4-annee_debut)</f>
        <v>1.02</v>
      </c>
      <c r="X15" s="57" t="n">
        <f aca="false">(1+inflation_couts)^(X$4-annee_debut)</f>
        <v>1.02</v>
      </c>
      <c r="Y15" s="57" t="n">
        <f aca="false">(1+inflation_couts)^(Y$4-annee_debut)</f>
        <v>1.02</v>
      </c>
      <c r="Z15" s="57" t="n">
        <f aca="false">(1+inflation_couts)^(Z$4-annee_debut)</f>
        <v>1.02</v>
      </c>
      <c r="AA15" s="57" t="n">
        <f aca="false">(1+inflation_couts)^(AA$4-annee_debut)</f>
        <v>1.02</v>
      </c>
      <c r="AB15" s="57" t="n">
        <f aca="false">(1+inflation_couts)^(AB$4-annee_debut)</f>
        <v>1.0404</v>
      </c>
      <c r="AC15" s="57" t="n">
        <f aca="false">(1+inflation_couts)^(AC$4-annee_debut)</f>
        <v>1.0404</v>
      </c>
      <c r="AD15" s="57" t="n">
        <f aca="false">(1+inflation_couts)^(AD$4-annee_debut)</f>
        <v>1.0404</v>
      </c>
      <c r="AE15" s="57" t="n">
        <f aca="false">(1+inflation_couts)^(AE$4-annee_debut)</f>
        <v>1.0404</v>
      </c>
      <c r="AF15" s="57" t="n">
        <f aca="false">(1+inflation_couts)^(AF$4-annee_debut)</f>
        <v>1.0404</v>
      </c>
      <c r="AG15" s="57" t="n">
        <f aca="false">(1+inflation_couts)^(AG$4-annee_debut)</f>
        <v>1.0404</v>
      </c>
      <c r="AH15" s="57" t="n">
        <f aca="false">(1+inflation_couts)^(AH$4-annee_debut)</f>
        <v>1.0404</v>
      </c>
      <c r="AI15" s="57" t="n">
        <f aca="false">(1+inflation_couts)^(AI$4-annee_debut)</f>
        <v>1.0404</v>
      </c>
      <c r="AJ15" s="57" t="n">
        <f aca="false">(1+inflation_couts)^(AJ$4-annee_debut)</f>
        <v>1.0404</v>
      </c>
      <c r="AK15" s="57" t="n">
        <f aca="false">(1+inflation_couts)^(AK$4-annee_debut)</f>
        <v>1.0404</v>
      </c>
      <c r="AL15" s="57" t="n">
        <f aca="false">(1+inflation_couts)^(AL$4-annee_debut)</f>
        <v>1.0404</v>
      </c>
      <c r="AM15" s="57" t="n">
        <f aca="false">(1+inflation_couts)^(AM$4-annee_debut)</f>
        <v>1.0404</v>
      </c>
    </row>
    <row r="16" customFormat="false" ht="15" hidden="false" customHeight="false" outlineLevel="0" collapsed="false">
      <c r="A16" s="5" t="s">
        <v>224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</row>
    <row r="17" customFormat="false" ht="15" hidden="false" customHeight="false" outlineLevel="0" collapsed="false">
      <c r="A17" s="10" t="s">
        <v>260</v>
      </c>
      <c r="B17" s="13" t="s">
        <v>71</v>
      </c>
      <c r="C17" s="50" t="n">
        <v>0</v>
      </c>
      <c r="D17" s="45" t="n">
        <f aca="false">D13*prix_rotation_p*D14</f>
        <v>524.4</v>
      </c>
      <c r="E17" s="45" t="n">
        <f aca="false">E13*prix_rotation_p*E14</f>
        <v>1562.712</v>
      </c>
      <c r="F17" s="45" t="n">
        <f aca="false">F13*prix_rotation_p*F14</f>
        <v>2716.0608</v>
      </c>
      <c r="G17" s="45" t="n">
        <f aca="false">G13*prix_rotation_p*G14</f>
        <v>3841.05437568</v>
      </c>
      <c r="H17" s="45" t="n">
        <f aca="false">H13*prix_rotation_p*H14</f>
        <v>5034.146031936</v>
      </c>
      <c r="I17" s="45" t="n">
        <f aca="false">I13*prix_rotation_p*I14</f>
        <v>6266.73920019149</v>
      </c>
      <c r="J17" s="45" t="n">
        <f aca="false">J13*prix_rotation_p*J14</f>
        <v>7130.00984907133</v>
      </c>
      <c r="K17" s="45" t="n">
        <f aca="false">K13*prix_rotation_p*K14</f>
        <v>6206.9406873066</v>
      </c>
      <c r="L17" s="45" t="n">
        <f aca="false">L13*prix_rotation_p*L14</f>
        <v>9142.87745904811</v>
      </c>
      <c r="M17" s="45" t="n">
        <f aca="false">M13*prix_rotation_p*M14</f>
        <v>9926.47286396492</v>
      </c>
      <c r="N17" s="45" t="n">
        <f aca="false">N13*prix_rotation_p*N14</f>
        <v>10548.6052492093</v>
      </c>
      <c r="O17" s="45" t="n">
        <f aca="false">O13*prix_rotation_p*O14</f>
        <v>11670.4658071097</v>
      </c>
      <c r="P17" s="45" t="n">
        <f aca="false">P13*prix_rotation_p*P14</f>
        <v>12336.1456664191</v>
      </c>
      <c r="Q17" s="45" t="n">
        <f aca="false">Q13*prix_rotation_p*Q14</f>
        <v>13961.5307530907</v>
      </c>
      <c r="R17" s="45" t="n">
        <f aca="false">R13*prix_rotation_p*R14</f>
        <v>16373.0611979251</v>
      </c>
      <c r="S17" s="45" t="n">
        <f aca="false">S13*prix_rotation_p*S14</f>
        <v>18376.564773446</v>
      </c>
      <c r="T17" s="45" t="n">
        <f aca="false">T13*prix_rotation_p*T14</f>
        <v>20607.8829332117</v>
      </c>
      <c r="U17" s="45" t="n">
        <f aca="false">U13*prix_rotation_p*U14</f>
        <v>22901.0371966774</v>
      </c>
      <c r="V17" s="45" t="n">
        <f aca="false">V13*prix_rotation_p*V14</f>
        <v>23888.7713290565</v>
      </c>
      <c r="W17" s="45" t="n">
        <f aca="false">W13*prix_rotation_p*W14</f>
        <v>19413.4612590289</v>
      </c>
      <c r="X17" s="45" t="n">
        <f aca="false">X13*prix_rotation_p*X14</f>
        <v>27039.7365444259</v>
      </c>
      <c r="Y17" s="45" t="n">
        <f aca="false">Y13*prix_rotation_p*Y14</f>
        <v>28023.9592647081</v>
      </c>
      <c r="Z17" s="45" t="n">
        <f aca="false">Z13*prix_rotation_p*Z14</f>
        <v>28634.2128926349</v>
      </c>
      <c r="AA17" s="45" t="n">
        <f aca="false">AA13*prix_rotation_p*AA14</f>
        <v>30632.8120074778</v>
      </c>
      <c r="AB17" s="45" t="n">
        <f aca="false">AB13*prix_rotation_p*AB14</f>
        <v>30701.4910189618</v>
      </c>
      <c r="AC17" s="45" t="n">
        <f aca="false">AC13*prix_rotation_p*AC14</f>
        <v>32542.5971185826</v>
      </c>
      <c r="AD17" s="45" t="n">
        <f aca="false">AD13*prix_rotation_p*AD14</f>
        <v>36154.611680222</v>
      </c>
      <c r="AE17" s="45" t="n">
        <f aca="false">AE13*prix_rotation_p*AE14</f>
        <v>38776.1905075499</v>
      </c>
      <c r="AF17" s="45" t="n">
        <f aca="false">AF13*prix_rotation_p*AF14</f>
        <v>41831.9046449695</v>
      </c>
      <c r="AG17" s="45" t="n">
        <f aca="false">AG13*prix_rotation_p*AG14</f>
        <v>44957.6617701293</v>
      </c>
      <c r="AH17" s="45" t="n">
        <f aca="false">AH13*prix_rotation_p*AH14</f>
        <v>45548.2323554287</v>
      </c>
      <c r="AI17" s="45" t="n">
        <f aca="false">AI13*prix_rotation_p*AI14</f>
        <v>36076.8297053868</v>
      </c>
      <c r="AJ17" s="45" t="n">
        <f aca="false">AJ13*prix_rotation_p*AJ14</f>
        <v>49117.3934885537</v>
      </c>
      <c r="AK17" s="45" t="n">
        <f aca="false">AK13*prix_rotation_p*AK14</f>
        <v>49880.0718149963</v>
      </c>
      <c r="AL17" s="45" t="n">
        <f aca="false">AL13*prix_rotation_p*AL14</f>
        <v>50043.0627055305</v>
      </c>
      <c r="AM17" s="45" t="n">
        <f aca="false">AM13*prix_rotation_p*AM14</f>
        <v>52659.0861524483</v>
      </c>
      <c r="AO17" s="45" t="n">
        <f aca="false">SUMIF($D$4:$AM$4,AO$4,$D17:$AM17)</f>
        <v>74570.4843235174</v>
      </c>
      <c r="AP17" s="45" t="n">
        <f aca="false">SUMIF($D$4:$AM$4,AP$4,$D17:$AM17)</f>
        <v>262189.175818102</v>
      </c>
      <c r="AQ17" s="45" t="n">
        <f aca="false">SUMIF($D$4:$AM$4,AQ$4,$D17:$AM17)</f>
        <v>508289.132962759</v>
      </c>
    </row>
    <row r="18" customFormat="false" ht="15" hidden="false" customHeight="false" outlineLevel="0" collapsed="false">
      <c r="A18" s="10" t="s">
        <v>261</v>
      </c>
      <c r="B18" s="13" t="s">
        <v>71</v>
      </c>
      <c r="C18" s="50" t="n">
        <v>0</v>
      </c>
      <c r="D18" s="45" t="n">
        <f aca="false">D11*abonnement_p*D14</f>
        <v>70</v>
      </c>
      <c r="E18" s="45" t="n">
        <f aca="false">E11*abonnement_p*E14</f>
        <v>208.6</v>
      </c>
      <c r="F18" s="45" t="n">
        <f aca="false">F11*abonnement_p*F14</f>
        <v>344.428</v>
      </c>
      <c r="G18" s="45" t="n">
        <f aca="false">G11*abonnement_p*G14</f>
        <v>477.53944</v>
      </c>
      <c r="H18" s="45" t="n">
        <f aca="false">H11*abonnement_p*H14</f>
        <v>607.9886512</v>
      </c>
      <c r="I18" s="45" t="n">
        <f aca="false">I11*abonnement_p*I14</f>
        <v>735.828878176</v>
      </c>
      <c r="J18" s="45" t="n">
        <f aca="false">J11*abonnement_p*J14</f>
        <v>861.11230061248</v>
      </c>
      <c r="K18" s="45" t="n">
        <f aca="false">K11*abonnement_p*K14</f>
        <v>983.89005460023</v>
      </c>
      <c r="L18" s="45" t="n">
        <f aca="false">L11*abonnement_p*L14</f>
        <v>1104.21225350823</v>
      </c>
      <c r="M18" s="45" t="n">
        <f aca="false">M11*abonnement_p*M14</f>
        <v>1222.12800843806</v>
      </c>
      <c r="N18" s="45" t="n">
        <f aca="false">N11*abonnement_p*N14</f>
        <v>1337.6854482693</v>
      </c>
      <c r="O18" s="45" t="n">
        <f aca="false">O11*abonnement_p*O14</f>
        <v>1450.93173930391</v>
      </c>
      <c r="P18" s="45" t="n">
        <f aca="false">P11*abonnement_p*P14</f>
        <v>1646.70136660819</v>
      </c>
      <c r="Q18" s="45" t="n">
        <f aca="false">Q11*abonnement_p*Q14</f>
        <v>1863.66733927603</v>
      </c>
      <c r="R18" s="45" t="n">
        <f aca="false">R11*abonnement_p*R14</f>
        <v>2076.29399249051</v>
      </c>
      <c r="S18" s="45" t="n">
        <f aca="false">S11*abonnement_p*S14</f>
        <v>2284.6681126407</v>
      </c>
      <c r="T18" s="45" t="n">
        <f aca="false">T11*abonnement_p*T14</f>
        <v>2488.87475038788</v>
      </c>
      <c r="U18" s="45" t="n">
        <f aca="false">U11*abonnement_p*U14</f>
        <v>2688.99725538013</v>
      </c>
      <c r="V18" s="45" t="n">
        <f aca="false">V11*abonnement_p*V14</f>
        <v>2885.11731027252</v>
      </c>
      <c r="W18" s="45" t="n">
        <f aca="false">W11*abonnement_p*W14</f>
        <v>3077.31496406707</v>
      </c>
      <c r="X18" s="45" t="n">
        <f aca="false">X11*abonnement_p*X14</f>
        <v>3265.66866478573</v>
      </c>
      <c r="Y18" s="45" t="n">
        <f aca="false">Y11*abonnement_p*Y14</f>
        <v>3450.25529149002</v>
      </c>
      <c r="Z18" s="45" t="n">
        <f aca="false">Z11*abonnement_p*Z14</f>
        <v>3631.15018566022</v>
      </c>
      <c r="AA18" s="45" t="n">
        <f aca="false">AA11*abonnement_p*AA14</f>
        <v>3808.42718194701</v>
      </c>
      <c r="AB18" s="45" t="n">
        <f aca="false">AB11*abonnement_p*AB14</f>
        <v>4098.21581107423</v>
      </c>
      <c r="AC18" s="45" t="n">
        <f aca="false">AC11*abonnement_p*AC14</f>
        <v>4343.97749485275</v>
      </c>
      <c r="AD18" s="45" t="n">
        <f aca="false">AD11*abonnement_p*AD14</f>
        <v>4584.82394495569</v>
      </c>
      <c r="AE18" s="45" t="n">
        <f aca="false">AE11*abonnement_p*AE14</f>
        <v>4820.85346605658</v>
      </c>
      <c r="AF18" s="45" t="n">
        <f aca="false">AF11*abonnement_p*AF14</f>
        <v>5052.16239673545</v>
      </c>
      <c r="AG18" s="45" t="n">
        <f aca="false">AG11*abonnement_p*AG14</f>
        <v>5278.84514880074</v>
      </c>
      <c r="AH18" s="45" t="n">
        <f aca="false">AH11*abonnement_p*AH14</f>
        <v>5500.99424582472</v>
      </c>
      <c r="AI18" s="45" t="n">
        <f aca="false">AI11*abonnement_p*AI14</f>
        <v>5718.70036090823</v>
      </c>
      <c r="AJ18" s="45" t="n">
        <f aca="false">AJ11*abonnement_p*AJ14</f>
        <v>5932.05235369006</v>
      </c>
      <c r="AK18" s="45" t="n">
        <f aca="false">AK11*abonnement_p*AK14</f>
        <v>6141.13730661626</v>
      </c>
      <c r="AL18" s="45" t="n">
        <f aca="false">AL11*abonnement_p*AL14</f>
        <v>6346.04056048394</v>
      </c>
      <c r="AM18" s="45" t="n">
        <f aca="false">AM11*abonnement_p*AM14</f>
        <v>6546.84574927426</v>
      </c>
      <c r="AO18" s="45" t="n">
        <f aca="false">SUMIF($D$4:$AM$4,AO$4,$D18:$AM18)</f>
        <v>9404.34477410821</v>
      </c>
      <c r="AP18" s="45" t="n">
        <f aca="false">SUMIF($D$4:$AM$4,AP$4,$D18:$AM18)</f>
        <v>33167.136415006</v>
      </c>
      <c r="AQ18" s="45" t="n">
        <f aca="false">SUMIF($D$4:$AM$4,AQ$4,$D18:$AM18)</f>
        <v>64364.6488392729</v>
      </c>
    </row>
    <row r="19" customFormat="false" ht="15" hidden="false" customHeight="false" outlineLevel="0" collapsed="false">
      <c r="A19" s="11" t="s">
        <v>224</v>
      </c>
      <c r="B19" s="13" t="s">
        <v>71</v>
      </c>
      <c r="C19" s="50" t="n">
        <v>0</v>
      </c>
      <c r="D19" s="44" t="n">
        <f aca="false">D17+D18</f>
        <v>594.4</v>
      </c>
      <c r="E19" s="44" t="n">
        <f aca="false">E17+E18</f>
        <v>1771.312</v>
      </c>
      <c r="F19" s="44" t="n">
        <f aca="false">F17+F18</f>
        <v>3060.4888</v>
      </c>
      <c r="G19" s="44" t="n">
        <f aca="false">G17+G18</f>
        <v>4318.59381568</v>
      </c>
      <c r="H19" s="44" t="n">
        <f aca="false">H17+H18</f>
        <v>5642.134683136</v>
      </c>
      <c r="I19" s="44" t="n">
        <f aca="false">I17+I18</f>
        <v>7002.56807836749</v>
      </c>
      <c r="J19" s="44" t="n">
        <f aca="false">J17+J18</f>
        <v>7991.12214968381</v>
      </c>
      <c r="K19" s="44" t="n">
        <f aca="false">K17+K18</f>
        <v>7190.83074190683</v>
      </c>
      <c r="L19" s="44" t="n">
        <f aca="false">L17+L18</f>
        <v>10247.0897125563</v>
      </c>
      <c r="M19" s="44" t="n">
        <f aca="false">M17+M18</f>
        <v>11148.600872403</v>
      </c>
      <c r="N19" s="44" t="n">
        <f aca="false">N17+N18</f>
        <v>11886.2906974786</v>
      </c>
      <c r="O19" s="44" t="n">
        <f aca="false">O17+O18</f>
        <v>13121.3975464136</v>
      </c>
      <c r="P19" s="44" t="n">
        <f aca="false">P17+P18</f>
        <v>13982.8470330273</v>
      </c>
      <c r="Q19" s="44" t="n">
        <f aca="false">Q17+Q18</f>
        <v>15825.1980923667</v>
      </c>
      <c r="R19" s="44" t="n">
        <f aca="false">R17+R18</f>
        <v>18449.3551904157</v>
      </c>
      <c r="S19" s="44" t="n">
        <f aca="false">S17+S18</f>
        <v>20661.2328860867</v>
      </c>
      <c r="T19" s="44" t="n">
        <f aca="false">T17+T18</f>
        <v>23096.7576835996</v>
      </c>
      <c r="U19" s="44" t="n">
        <f aca="false">U17+U18</f>
        <v>25590.0344520575</v>
      </c>
      <c r="V19" s="44" t="n">
        <f aca="false">V17+V18</f>
        <v>26773.888639329</v>
      </c>
      <c r="W19" s="44" t="n">
        <f aca="false">W17+W18</f>
        <v>22490.7762230959</v>
      </c>
      <c r="X19" s="44" t="n">
        <f aca="false">X17+X18</f>
        <v>30305.4052092116</v>
      </c>
      <c r="Y19" s="44" t="n">
        <f aca="false">Y17+Y18</f>
        <v>31474.2145561981</v>
      </c>
      <c r="Z19" s="44" t="n">
        <f aca="false">Z17+Z18</f>
        <v>32265.3630782951</v>
      </c>
      <c r="AA19" s="44" t="n">
        <f aca="false">AA17+AA18</f>
        <v>34441.2391894248</v>
      </c>
      <c r="AB19" s="44" t="n">
        <f aca="false">AB17+AB18</f>
        <v>34799.7068300361</v>
      </c>
      <c r="AC19" s="44" t="n">
        <f aca="false">AC17+AC18</f>
        <v>36886.5746134353</v>
      </c>
      <c r="AD19" s="44" t="n">
        <f aca="false">AD17+AD18</f>
        <v>40739.4356251777</v>
      </c>
      <c r="AE19" s="44" t="n">
        <f aca="false">AE17+AE18</f>
        <v>43597.0439736065</v>
      </c>
      <c r="AF19" s="44" t="n">
        <f aca="false">AF17+AF18</f>
        <v>46884.0670417049</v>
      </c>
      <c r="AG19" s="44" t="n">
        <f aca="false">AG17+AG18</f>
        <v>50236.50691893</v>
      </c>
      <c r="AH19" s="44" t="n">
        <f aca="false">AH17+AH18</f>
        <v>51049.2266012534</v>
      </c>
      <c r="AI19" s="44" t="n">
        <f aca="false">AI17+AI18</f>
        <v>41795.530066295</v>
      </c>
      <c r="AJ19" s="44" t="n">
        <f aca="false">AJ17+AJ18</f>
        <v>55049.4458422438</v>
      </c>
      <c r="AK19" s="44" t="n">
        <f aca="false">AK17+AK18</f>
        <v>56021.2091216126</v>
      </c>
      <c r="AL19" s="44" t="n">
        <f aca="false">AL17+AL18</f>
        <v>56389.1032660144</v>
      </c>
      <c r="AM19" s="44" t="n">
        <f aca="false">AM17+AM18</f>
        <v>59205.9319017225</v>
      </c>
      <c r="AO19" s="44" t="n">
        <f aca="false">SUMIF($D$4:$AM$4,AO$4,$D19:$AM19)</f>
        <v>83974.8290976257</v>
      </c>
      <c r="AP19" s="44" t="n">
        <f aca="false">SUMIF($D$4:$AM$4,AP$4,$D19:$AM19)</f>
        <v>295356.312233108</v>
      </c>
      <c r="AQ19" s="44" t="n">
        <f aca="false">SUMIF($D$4:$AM$4,AQ$4,$D19:$AM19)</f>
        <v>572653.781802032</v>
      </c>
    </row>
    <row r="20" customFormat="false" ht="15" hidden="false" customHeight="false" outlineLevel="0" collapsed="false">
      <c r="A20" s="5" t="s">
        <v>394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</row>
    <row r="21" customFormat="false" ht="15" hidden="false" customHeight="false" outlineLevel="0" collapsed="false">
      <c r="A21" s="10" t="s">
        <v>395</v>
      </c>
      <c r="B21" s="13" t="s">
        <v>71</v>
      </c>
      <c r="C21" s="50" t="n">
        <v>0</v>
      </c>
      <c r="D21" s="45" t="n">
        <f aca="false">D13*cout_lavage_p*D15</f>
        <v>68.4</v>
      </c>
      <c r="E21" s="45" t="n">
        <f aca="false">E13*cout_lavage_p*E15</f>
        <v>203.832</v>
      </c>
      <c r="F21" s="45" t="n">
        <f aca="false">F13*cout_lavage_p*F15</f>
        <v>354.2688</v>
      </c>
      <c r="G21" s="45" t="n">
        <f aca="false">G13*cout_lavage_p*G15</f>
        <v>501.00709248</v>
      </c>
      <c r="H21" s="45" t="n">
        <f aca="false">H13*cout_lavage_p*H15</f>
        <v>656.627743296</v>
      </c>
      <c r="I21" s="45" t="n">
        <f aca="false">I13*cout_lavage_p*I15</f>
        <v>817.400765242368</v>
      </c>
      <c r="J21" s="45" t="n">
        <f aca="false">J13*cout_lavage_p*J15</f>
        <v>930.001284661478</v>
      </c>
      <c r="K21" s="45" t="n">
        <f aca="false">K13*cout_lavage_p*K15</f>
        <v>809.600959213904</v>
      </c>
      <c r="L21" s="45" t="n">
        <f aca="false">L13*cout_lavage_p*L15</f>
        <v>1192.54923378888</v>
      </c>
      <c r="M21" s="45" t="n">
        <f aca="false">M13*cout_lavage_p*M15</f>
        <v>1294.75733008238</v>
      </c>
      <c r="N21" s="45" t="n">
        <f aca="false">N13*cout_lavage_p*N15</f>
        <v>1375.90503250557</v>
      </c>
      <c r="O21" s="45" t="n">
        <f aca="false">O13*cout_lavage_p*O15</f>
        <v>1522.23467049256</v>
      </c>
      <c r="P21" s="45" t="n">
        <f aca="false">P13*cout_lavage_p*P15</f>
        <v>1609.06247822858</v>
      </c>
      <c r="Q21" s="45" t="n">
        <f aca="false">Q13*cout_lavage_p*Q15</f>
        <v>1821.069228664</v>
      </c>
      <c r="R21" s="45" t="n">
        <f aca="false">R13*cout_lavage_p*R15</f>
        <v>2135.61667799024</v>
      </c>
      <c r="S21" s="45" t="n">
        <f aca="false">S13*cout_lavage_p*S15</f>
        <v>2396.94323131904</v>
      </c>
      <c r="T21" s="45" t="n">
        <f aca="false">T13*cout_lavage_p*T15</f>
        <v>2687.98473041892</v>
      </c>
      <c r="U21" s="45" t="n">
        <f aca="false">U13*cout_lavage_p*U15</f>
        <v>2987.09180826227</v>
      </c>
      <c r="V21" s="45" t="n">
        <f aca="false">V13*cout_lavage_p*V15</f>
        <v>3115.92669509433</v>
      </c>
      <c r="W21" s="45" t="n">
        <f aca="false">W13*cout_lavage_p*W15</f>
        <v>2532.19059900376</v>
      </c>
      <c r="X21" s="45" t="n">
        <f aca="false">X13*cout_lavage_p*X15</f>
        <v>3526.92215796859</v>
      </c>
      <c r="Y21" s="45" t="n">
        <f aca="false">Y13*cout_lavage_p*Y15</f>
        <v>3655.29903452714</v>
      </c>
      <c r="Z21" s="45" t="n">
        <f aca="false">Z13*cout_lavage_p*Z15</f>
        <v>3734.89733382194</v>
      </c>
      <c r="AA21" s="45" t="n">
        <f aca="false">AA13*cout_lavage_p*AA15</f>
        <v>3995.58417488841</v>
      </c>
      <c r="AB21" s="45" t="n">
        <f aca="false">AB13*cout_lavage_p*AB15</f>
        <v>4004.54230682111</v>
      </c>
      <c r="AC21" s="45" t="n">
        <f aca="false">AC13*cout_lavage_p*AC15</f>
        <v>4244.68658068468</v>
      </c>
      <c r="AD21" s="45" t="n">
        <f aca="false">AD13*cout_lavage_p*AD15</f>
        <v>4715.81891481157</v>
      </c>
      <c r="AE21" s="45" t="n">
        <f aca="false">AE13*cout_lavage_p*AE15</f>
        <v>5057.76397924564</v>
      </c>
      <c r="AF21" s="45" t="n">
        <f aca="false">AF13*cout_lavage_p*AF15</f>
        <v>5456.33538847428</v>
      </c>
      <c r="AG21" s="45" t="n">
        <f aca="false">AG13*cout_lavage_p*AG15</f>
        <v>5864.04283958208</v>
      </c>
      <c r="AH21" s="45" t="n">
        <f aca="false">AH13*cout_lavage_p*AH15</f>
        <v>5941.0737854907</v>
      </c>
      <c r="AI21" s="45" t="n">
        <f aca="false">AI13*cout_lavage_p*AI15</f>
        <v>4705.67343983306</v>
      </c>
      <c r="AJ21" s="45" t="n">
        <f aca="false">AJ13*cout_lavage_p*AJ15</f>
        <v>6406.61654198527</v>
      </c>
      <c r="AK21" s="45" t="n">
        <f aca="false">AK13*cout_lavage_p*AK15</f>
        <v>6506.09632369517</v>
      </c>
      <c r="AL21" s="45" t="n">
        <f aca="false">AL13*cout_lavage_p*AL15</f>
        <v>6527.35600506919</v>
      </c>
      <c r="AM21" s="45" t="n">
        <f aca="false">AM13*cout_lavage_p*AM15</f>
        <v>6868.57645466716</v>
      </c>
      <c r="AO21" s="45" t="n">
        <f aca="false">SUMIF($D$4:$AM$4,AO$4,$D21:$AM21)</f>
        <v>9726.58491176314</v>
      </c>
      <c r="AP21" s="45" t="n">
        <f aca="false">SUMIF($D$4:$AM$4,AP$4,$D21:$AM21)</f>
        <v>34198.5881501872</v>
      </c>
      <c r="AQ21" s="45" t="n">
        <f aca="false">SUMIF($D$4:$AM$4,AQ$4,$D21:$AM21)</f>
        <v>66298.5825603599</v>
      </c>
    </row>
    <row r="22" customFormat="false" ht="15" hidden="false" customHeight="false" outlineLevel="0" collapsed="false">
      <c r="A22" s="10" t="s">
        <v>264</v>
      </c>
      <c r="B22" s="13" t="s">
        <v>71</v>
      </c>
      <c r="C22" s="50" t="n">
        <v>0</v>
      </c>
      <c r="D22" s="45" t="n">
        <f aca="false">D13*cout_logistique_p*D15</f>
        <v>102.6</v>
      </c>
      <c r="E22" s="45" t="n">
        <f aca="false">E13*cout_logistique_p*E15</f>
        <v>305.748</v>
      </c>
      <c r="F22" s="45" t="n">
        <f aca="false">F13*cout_logistique_p*F15</f>
        <v>531.4032</v>
      </c>
      <c r="G22" s="45" t="n">
        <f aca="false">G13*cout_logistique_p*G15</f>
        <v>751.51063872</v>
      </c>
      <c r="H22" s="45" t="n">
        <f aca="false">H13*cout_logistique_p*H15</f>
        <v>984.941614944</v>
      </c>
      <c r="I22" s="45" t="n">
        <f aca="false">I13*cout_logistique_p*I15</f>
        <v>1226.10114786355</v>
      </c>
      <c r="J22" s="45" t="n">
        <f aca="false">J13*cout_logistique_p*J15</f>
        <v>1395.00192699222</v>
      </c>
      <c r="K22" s="45" t="n">
        <f aca="false">K13*cout_logistique_p*K15</f>
        <v>1214.40143882086</v>
      </c>
      <c r="L22" s="45" t="n">
        <f aca="false">L13*cout_logistique_p*L15</f>
        <v>1788.82385068333</v>
      </c>
      <c r="M22" s="45" t="n">
        <f aca="false">M13*cout_logistique_p*M15</f>
        <v>1942.13599512357</v>
      </c>
      <c r="N22" s="45" t="n">
        <f aca="false">N13*cout_logistique_p*N15</f>
        <v>2063.85754875835</v>
      </c>
      <c r="O22" s="45" t="n">
        <f aca="false">O13*cout_logistique_p*O15</f>
        <v>2283.35200573885</v>
      </c>
      <c r="P22" s="45" t="n">
        <f aca="false">P13*cout_logistique_p*P15</f>
        <v>2413.59371734286</v>
      </c>
      <c r="Q22" s="45" t="n">
        <f aca="false">Q13*cout_logistique_p*Q15</f>
        <v>2731.60384299601</v>
      </c>
      <c r="R22" s="45" t="n">
        <f aca="false">R13*cout_logistique_p*R15</f>
        <v>3203.42501698536</v>
      </c>
      <c r="S22" s="45" t="n">
        <f aca="false">S13*cout_logistique_p*S15</f>
        <v>3595.41484697856</v>
      </c>
      <c r="T22" s="45" t="n">
        <f aca="false">T13*cout_logistique_p*T15</f>
        <v>4031.97709562837</v>
      </c>
      <c r="U22" s="45" t="n">
        <f aca="false">U13*cout_logistique_p*U15</f>
        <v>4480.6377123934</v>
      </c>
      <c r="V22" s="45" t="n">
        <f aca="false">V13*cout_logistique_p*V15</f>
        <v>4673.89004264149</v>
      </c>
      <c r="W22" s="45" t="n">
        <f aca="false">W13*cout_logistique_p*W15</f>
        <v>3798.28589850564</v>
      </c>
      <c r="X22" s="45" t="n">
        <f aca="false">X13*cout_logistique_p*X15</f>
        <v>5290.38323695289</v>
      </c>
      <c r="Y22" s="45" t="n">
        <f aca="false">Y13*cout_logistique_p*Y15</f>
        <v>5482.94855179071</v>
      </c>
      <c r="Z22" s="45" t="n">
        <f aca="false">Z13*cout_logistique_p*Z15</f>
        <v>5602.3460007329</v>
      </c>
      <c r="AA22" s="45" t="n">
        <f aca="false">AA13*cout_logistique_p*AA15</f>
        <v>5993.37626233261</v>
      </c>
      <c r="AB22" s="45" t="n">
        <f aca="false">AB13*cout_logistique_p*AB15</f>
        <v>6006.81346023166</v>
      </c>
      <c r="AC22" s="45" t="n">
        <f aca="false">AC13*cout_logistique_p*AC15</f>
        <v>6367.02987102703</v>
      </c>
      <c r="AD22" s="45" t="n">
        <f aca="false">AD13*cout_logistique_p*AD15</f>
        <v>7073.72837221736</v>
      </c>
      <c r="AE22" s="45" t="n">
        <f aca="false">AE13*cout_logistique_p*AE15</f>
        <v>7586.64596886847</v>
      </c>
      <c r="AF22" s="45" t="n">
        <f aca="false">AF13*cout_logistique_p*AF15</f>
        <v>8184.50308271142</v>
      </c>
      <c r="AG22" s="45" t="n">
        <f aca="false">AG13*cout_logistique_p*AG15</f>
        <v>8796.06425937312</v>
      </c>
      <c r="AH22" s="45" t="n">
        <f aca="false">AH13*cout_logistique_p*AH15</f>
        <v>8911.61067823605</v>
      </c>
      <c r="AI22" s="45" t="n">
        <f aca="false">AI13*cout_logistique_p*AI15</f>
        <v>7058.51015974959</v>
      </c>
      <c r="AJ22" s="45" t="n">
        <f aca="false">AJ13*cout_logistique_p*AJ15</f>
        <v>9609.9248129779</v>
      </c>
      <c r="AK22" s="45" t="n">
        <f aca="false">AK13*cout_logistique_p*AK15</f>
        <v>9759.14448554275</v>
      </c>
      <c r="AL22" s="45" t="n">
        <f aca="false">AL13*cout_logistique_p*AL15</f>
        <v>9791.03400760379</v>
      </c>
      <c r="AM22" s="45" t="n">
        <f aca="false">AM13*cout_logistique_p*AM15</f>
        <v>10302.8646820007</v>
      </c>
      <c r="AO22" s="45" t="n">
        <f aca="false">SUMIF($D$4:$AM$4,AO$4,$D22:$AM22)</f>
        <v>14589.8773676447</v>
      </c>
      <c r="AP22" s="45" t="n">
        <f aca="false">SUMIF($D$4:$AM$4,AP$4,$D22:$AM22)</f>
        <v>51297.8822252808</v>
      </c>
      <c r="AQ22" s="45" t="n">
        <f aca="false">SUMIF($D$4:$AM$4,AQ$4,$D22:$AM22)</f>
        <v>99447.8738405399</v>
      </c>
    </row>
    <row r="23" customFormat="false" ht="15" hidden="false" customHeight="false" outlineLevel="0" collapsed="false">
      <c r="A23" s="10" t="s">
        <v>265</v>
      </c>
      <c r="B23" s="13" t="s">
        <v>71</v>
      </c>
      <c r="C23" s="50" t="n">
        <v>0</v>
      </c>
      <c r="D23" s="45" t="n">
        <f aca="false">D13*taux_perte_p*cout_contenant*D15</f>
        <v>75.24</v>
      </c>
      <c r="E23" s="45" t="n">
        <f aca="false">E13*taux_perte_p*cout_contenant*E15</f>
        <v>224.2152</v>
      </c>
      <c r="F23" s="45" t="n">
        <f aca="false">F13*taux_perte_p*cout_contenant*F15</f>
        <v>389.69568</v>
      </c>
      <c r="G23" s="45" t="n">
        <f aca="false">G13*taux_perte_p*cout_contenant*G15</f>
        <v>551.107801728</v>
      </c>
      <c r="H23" s="45" t="n">
        <f aca="false">H13*taux_perte_p*cout_contenant*H15</f>
        <v>722.2905176256</v>
      </c>
      <c r="I23" s="45" t="n">
        <f aca="false">I13*taux_perte_p*cout_contenant*I15</f>
        <v>899.140841766605</v>
      </c>
      <c r="J23" s="45" t="n">
        <f aca="false">J13*taux_perte_p*cout_contenant*J15</f>
        <v>1023.00141312763</v>
      </c>
      <c r="K23" s="45" t="n">
        <f aca="false">K13*taux_perte_p*cout_contenant*K15</f>
        <v>890.561055135294</v>
      </c>
      <c r="L23" s="45" t="n">
        <f aca="false">L13*taux_perte_p*cout_contenant*L15</f>
        <v>1311.80415716777</v>
      </c>
      <c r="M23" s="45" t="n">
        <f aca="false">M13*taux_perte_p*cout_contenant*M15</f>
        <v>1424.23306309062</v>
      </c>
      <c r="N23" s="45" t="n">
        <f aca="false">N13*taux_perte_p*cout_contenant*N15</f>
        <v>1513.49553575612</v>
      </c>
      <c r="O23" s="45" t="n">
        <f aca="false">O13*taux_perte_p*cout_contenant*O15</f>
        <v>1674.45813754182</v>
      </c>
      <c r="P23" s="45" t="n">
        <f aca="false">P13*taux_perte_p*cout_contenant*P15</f>
        <v>1769.96872605143</v>
      </c>
      <c r="Q23" s="45" t="n">
        <f aca="false">Q13*taux_perte_p*cout_contenant*Q15</f>
        <v>2003.17615153041</v>
      </c>
      <c r="R23" s="45" t="n">
        <f aca="false">R13*taux_perte_p*cout_contenant*R15</f>
        <v>2349.17834578926</v>
      </c>
      <c r="S23" s="45" t="n">
        <f aca="false">S13*taux_perte_p*cout_contenant*S15</f>
        <v>2636.63755445094</v>
      </c>
      <c r="T23" s="45" t="n">
        <f aca="false">T13*taux_perte_p*cout_contenant*T15</f>
        <v>2956.78320346081</v>
      </c>
      <c r="U23" s="45" t="n">
        <f aca="false">U13*taux_perte_p*cout_contenant*U15</f>
        <v>3285.80098908849</v>
      </c>
      <c r="V23" s="45" t="n">
        <f aca="false">V13*taux_perte_p*cout_contenant*V15</f>
        <v>3427.51936460376</v>
      </c>
      <c r="W23" s="45" t="n">
        <f aca="false">W13*taux_perte_p*cout_contenant*W15</f>
        <v>2785.40965890414</v>
      </c>
      <c r="X23" s="45" t="n">
        <f aca="false">X13*taux_perte_p*cout_contenant*X15</f>
        <v>3879.61437376545</v>
      </c>
      <c r="Y23" s="45" t="n">
        <f aca="false">Y13*taux_perte_p*cout_contenant*Y15</f>
        <v>4020.82893797985</v>
      </c>
      <c r="Z23" s="45" t="n">
        <f aca="false">Z13*taux_perte_p*cout_contenant*Z15</f>
        <v>4108.38706720413</v>
      </c>
      <c r="AA23" s="45" t="n">
        <f aca="false">AA13*taux_perte_p*cout_contenant*AA15</f>
        <v>4395.14259237725</v>
      </c>
      <c r="AB23" s="45" t="n">
        <f aca="false">AB13*taux_perte_p*cout_contenant*AB15</f>
        <v>4404.99653750322</v>
      </c>
      <c r="AC23" s="45" t="n">
        <f aca="false">AC13*taux_perte_p*cout_contenant*AC15</f>
        <v>4669.15523875315</v>
      </c>
      <c r="AD23" s="45" t="n">
        <f aca="false">AD13*taux_perte_p*cout_contenant*AD15</f>
        <v>5187.40080629273</v>
      </c>
      <c r="AE23" s="45" t="n">
        <f aca="false">AE13*taux_perte_p*cout_contenant*AE15</f>
        <v>5563.54037717021</v>
      </c>
      <c r="AF23" s="45" t="n">
        <f aca="false">AF13*taux_perte_p*cout_contenant*AF15</f>
        <v>6001.96892732171</v>
      </c>
      <c r="AG23" s="45" t="n">
        <f aca="false">AG13*taux_perte_p*cout_contenant*AG15</f>
        <v>6450.44712354029</v>
      </c>
      <c r="AH23" s="45" t="n">
        <f aca="false">AH13*taux_perte_p*cout_contenant*AH15</f>
        <v>6535.18116403977</v>
      </c>
      <c r="AI23" s="45" t="n">
        <f aca="false">AI13*taux_perte_p*cout_contenant*AI15</f>
        <v>5176.24078381636</v>
      </c>
      <c r="AJ23" s="45" t="n">
        <f aca="false">AJ13*taux_perte_p*cout_contenant*AJ15</f>
        <v>7047.2781961838</v>
      </c>
      <c r="AK23" s="45" t="n">
        <f aca="false">AK13*taux_perte_p*cout_contenant*AK15</f>
        <v>7156.70595606469</v>
      </c>
      <c r="AL23" s="45" t="n">
        <f aca="false">AL13*taux_perte_p*cout_contenant*AL15</f>
        <v>7180.09160557611</v>
      </c>
      <c r="AM23" s="45" t="n">
        <f aca="false">AM13*taux_perte_p*cout_contenant*AM15</f>
        <v>7555.43410013388</v>
      </c>
      <c r="AO23" s="45" t="n">
        <f aca="false">SUMIF($D$4:$AM$4,AO$4,$D23:$AM23)</f>
        <v>10699.2434029395</v>
      </c>
      <c r="AP23" s="45" t="n">
        <f aca="false">SUMIF($D$4:$AM$4,AP$4,$D23:$AM23)</f>
        <v>37618.4469652059</v>
      </c>
      <c r="AQ23" s="45" t="n">
        <f aca="false">SUMIF($D$4:$AM$4,AQ$4,$D23:$AM23)</f>
        <v>72928.4408163959</v>
      </c>
    </row>
    <row r="24" customFormat="false" ht="15" hidden="false" customHeight="false" outlineLevel="0" collapsed="false">
      <c r="A24" s="11" t="s">
        <v>396</v>
      </c>
      <c r="B24" s="13" t="s">
        <v>71</v>
      </c>
      <c r="C24" s="50" t="n">
        <v>0</v>
      </c>
      <c r="D24" s="44" t="n">
        <f aca="false">SUM(D21:D23)</f>
        <v>246.24</v>
      </c>
      <c r="E24" s="44" t="n">
        <f aca="false">SUM(E21:E23)</f>
        <v>733.7952</v>
      </c>
      <c r="F24" s="44" t="n">
        <f aca="false">SUM(F21:F23)</f>
        <v>1275.36768</v>
      </c>
      <c r="G24" s="44" t="n">
        <f aca="false">SUM(G21:G23)</f>
        <v>1803.625532928</v>
      </c>
      <c r="H24" s="44" t="n">
        <f aca="false">SUM(H21:H23)</f>
        <v>2363.8598758656</v>
      </c>
      <c r="I24" s="44" t="n">
        <f aca="false">SUM(I21:I23)</f>
        <v>2942.64275487252</v>
      </c>
      <c r="J24" s="44" t="n">
        <f aca="false">SUM(J21:J23)</f>
        <v>3348.00462478132</v>
      </c>
      <c r="K24" s="44" t="n">
        <f aca="false">SUM(K21:K23)</f>
        <v>2914.56345317005</v>
      </c>
      <c r="L24" s="44" t="n">
        <f aca="false">SUM(L21:L23)</f>
        <v>4293.17724163998</v>
      </c>
      <c r="M24" s="44" t="n">
        <f aca="false">SUM(M21:M23)</f>
        <v>4661.12638829657</v>
      </c>
      <c r="N24" s="44" t="n">
        <f aca="false">SUM(N21:N23)</f>
        <v>4953.25811702004</v>
      </c>
      <c r="O24" s="44" t="n">
        <f aca="false">SUM(O21:O23)</f>
        <v>5480.04481377323</v>
      </c>
      <c r="P24" s="44" t="n">
        <f aca="false">SUM(P21:P23)</f>
        <v>5792.62492162288</v>
      </c>
      <c r="Q24" s="44" t="n">
        <f aca="false">SUM(Q21:Q23)</f>
        <v>6555.84922319042</v>
      </c>
      <c r="R24" s="44" t="n">
        <f aca="false">SUM(R21:R23)</f>
        <v>7688.22004076485</v>
      </c>
      <c r="S24" s="44" t="n">
        <f aca="false">SUM(S21:S23)</f>
        <v>8628.99563274855</v>
      </c>
      <c r="T24" s="44" t="n">
        <f aca="false">SUM(T21:T23)</f>
        <v>9676.74502950809</v>
      </c>
      <c r="U24" s="44" t="n">
        <f aca="false">SUM(U21:U23)</f>
        <v>10753.5305097442</v>
      </c>
      <c r="V24" s="44" t="n">
        <f aca="false">SUM(V21:V23)</f>
        <v>11217.3361023396</v>
      </c>
      <c r="W24" s="44" t="n">
        <f aca="false">SUM(W21:W23)</f>
        <v>9115.88615641355</v>
      </c>
      <c r="X24" s="44" t="n">
        <f aca="false">SUM(X21:X23)</f>
        <v>12696.9197686869</v>
      </c>
      <c r="Y24" s="44" t="n">
        <f aca="false">SUM(Y21:Y23)</f>
        <v>13159.0765242977</v>
      </c>
      <c r="Z24" s="44" t="n">
        <f aca="false">SUM(Z21:Z23)</f>
        <v>13445.630401759</v>
      </c>
      <c r="AA24" s="44" t="n">
        <f aca="false">SUM(AA21:AA23)</f>
        <v>14384.1030295983</v>
      </c>
      <c r="AB24" s="44" t="n">
        <f aca="false">SUM(AB21:AB23)</f>
        <v>14416.352304556</v>
      </c>
      <c r="AC24" s="44" t="n">
        <f aca="false">SUM(AC21:AC23)</f>
        <v>15280.8716904649</v>
      </c>
      <c r="AD24" s="44" t="n">
        <f aca="false">SUM(AD21:AD23)</f>
        <v>16976.9480933217</v>
      </c>
      <c r="AE24" s="44" t="n">
        <f aca="false">SUM(AE21:AE23)</f>
        <v>18207.9503252843</v>
      </c>
      <c r="AF24" s="44" t="n">
        <f aca="false">SUM(AF21:AF23)</f>
        <v>19642.8073985074</v>
      </c>
      <c r="AG24" s="44" t="n">
        <f aca="false">SUM(AG21:AG23)</f>
        <v>21110.5542224955</v>
      </c>
      <c r="AH24" s="44" t="n">
        <f aca="false">SUM(AH21:AH23)</f>
        <v>21387.8656277665</v>
      </c>
      <c r="AI24" s="44" t="n">
        <f aca="false">SUM(AI21:AI23)</f>
        <v>16940.424383399</v>
      </c>
      <c r="AJ24" s="44" t="n">
        <f aca="false">SUM(AJ21:AJ23)</f>
        <v>23063.819551147</v>
      </c>
      <c r="AK24" s="44" t="n">
        <f aca="false">SUM(AK21:AK23)</f>
        <v>23421.9467653026</v>
      </c>
      <c r="AL24" s="44" t="n">
        <f aca="false">SUM(AL21:AL23)</f>
        <v>23498.4816182491</v>
      </c>
      <c r="AM24" s="44" t="n">
        <f aca="false">SUM(AM21:AM23)</f>
        <v>24726.8752368018</v>
      </c>
      <c r="AO24" s="44" t="n">
        <f aca="false">SUMIF($D$4:$AM$4,AO$4,$D24:$AM24)</f>
        <v>35015.7056823473</v>
      </c>
      <c r="AP24" s="44" t="n">
        <f aca="false">SUMIF($D$4:$AM$4,AP$4,$D24:$AM24)</f>
        <v>123114.917340674</v>
      </c>
      <c r="AQ24" s="44" t="n">
        <f aca="false">SUMIF($D$4:$AM$4,AQ$4,$D24:$AM24)</f>
        <v>238674.897217296</v>
      </c>
    </row>
    <row r="25" customFormat="false" ht="15" hidden="false" customHeight="false" outlineLevel="0" collapsed="false">
      <c r="A25" s="11" t="s">
        <v>225</v>
      </c>
      <c r="B25" s="13" t="s">
        <v>71</v>
      </c>
      <c r="C25" s="50" t="n">
        <v>0</v>
      </c>
      <c r="D25" s="44" t="n">
        <f aca="false">D19-D24</f>
        <v>348.16</v>
      </c>
      <c r="E25" s="44" t="n">
        <f aca="false">E19-E24</f>
        <v>1037.5168</v>
      </c>
      <c r="F25" s="44" t="n">
        <f aca="false">F19-F24</f>
        <v>1785.12112</v>
      </c>
      <c r="G25" s="44" t="n">
        <f aca="false">G19-G24</f>
        <v>2514.968282752</v>
      </c>
      <c r="H25" s="44" t="n">
        <f aca="false">H19-H24</f>
        <v>3278.2748072704</v>
      </c>
      <c r="I25" s="44" t="n">
        <f aca="false">I19-I24</f>
        <v>4059.92532349496</v>
      </c>
      <c r="J25" s="44" t="n">
        <f aca="false">J19-J24</f>
        <v>4643.11752490249</v>
      </c>
      <c r="K25" s="44" t="n">
        <f aca="false">K19-K24</f>
        <v>4276.26728873677</v>
      </c>
      <c r="L25" s="44" t="n">
        <f aca="false">L19-L24</f>
        <v>5953.91247091635</v>
      </c>
      <c r="M25" s="44" t="n">
        <f aca="false">M19-M24</f>
        <v>6487.47448410641</v>
      </c>
      <c r="N25" s="44" t="n">
        <f aca="false">N19-N24</f>
        <v>6933.0325804586</v>
      </c>
      <c r="O25" s="44" t="n">
        <f aca="false">O19-O24</f>
        <v>7641.35273264034</v>
      </c>
      <c r="P25" s="44" t="n">
        <f aca="false">P19-P24</f>
        <v>8190.2221114044</v>
      </c>
      <c r="Q25" s="44" t="n">
        <f aca="false">Q19-Q24</f>
        <v>9269.34886917632</v>
      </c>
      <c r="R25" s="44" t="n">
        <f aca="false">R19-R24</f>
        <v>10761.1351496508</v>
      </c>
      <c r="S25" s="44" t="n">
        <f aca="false">S19-S24</f>
        <v>12032.2372533381</v>
      </c>
      <c r="T25" s="44" t="n">
        <f aca="false">T19-T24</f>
        <v>13420.0126540915</v>
      </c>
      <c r="U25" s="44" t="n">
        <f aca="false">U19-U24</f>
        <v>14836.5039423133</v>
      </c>
      <c r="V25" s="44" t="n">
        <f aca="false">V19-V24</f>
        <v>15556.5525369894</v>
      </c>
      <c r="W25" s="44" t="n">
        <f aca="false">W19-W24</f>
        <v>13374.8900666824</v>
      </c>
      <c r="X25" s="44" t="n">
        <f aca="false">X19-X24</f>
        <v>17608.4854405247</v>
      </c>
      <c r="Y25" s="44" t="n">
        <f aca="false">Y19-Y24</f>
        <v>18315.1380319004</v>
      </c>
      <c r="Z25" s="44" t="n">
        <f aca="false">Z19-Z24</f>
        <v>18819.7326765361</v>
      </c>
      <c r="AA25" s="44" t="n">
        <f aca="false">AA19-AA24</f>
        <v>20057.1361598265</v>
      </c>
      <c r="AB25" s="44" t="n">
        <f aca="false">AB19-AB24</f>
        <v>20383.3545254801</v>
      </c>
      <c r="AC25" s="44" t="n">
        <f aca="false">AC19-AC24</f>
        <v>21605.7029229705</v>
      </c>
      <c r="AD25" s="44" t="n">
        <f aca="false">AD19-AD24</f>
        <v>23762.4875318561</v>
      </c>
      <c r="AE25" s="44" t="n">
        <f aca="false">AE19-AE24</f>
        <v>25389.0936483222</v>
      </c>
      <c r="AF25" s="44" t="n">
        <f aca="false">AF19-AF24</f>
        <v>27241.2596431975</v>
      </c>
      <c r="AG25" s="44" t="n">
        <f aca="false">AG19-AG24</f>
        <v>29125.9526964345</v>
      </c>
      <c r="AH25" s="44" t="n">
        <f aca="false">AH19-AH24</f>
        <v>29661.3609734869</v>
      </c>
      <c r="AI25" s="44" t="n">
        <f aca="false">AI19-AI24</f>
        <v>24855.105682896</v>
      </c>
      <c r="AJ25" s="44" t="n">
        <f aca="false">AJ19-AJ24</f>
        <v>31985.6262910968</v>
      </c>
      <c r="AK25" s="44" t="n">
        <f aca="false">AK19-AK24</f>
        <v>32599.26235631</v>
      </c>
      <c r="AL25" s="44" t="n">
        <f aca="false">AL19-AL24</f>
        <v>32890.6216477653</v>
      </c>
      <c r="AM25" s="44" t="n">
        <f aca="false">AM19-AM24</f>
        <v>34479.0566649207</v>
      </c>
      <c r="AO25" s="44" t="n">
        <f aca="false">SUMIF($D$4:$AM$4,AO$4,$D25:$AM25)</f>
        <v>48959.1234152783</v>
      </c>
      <c r="AP25" s="44" t="n">
        <f aca="false">SUMIF($D$4:$AM$4,AP$4,$D25:$AM25)</f>
        <v>172241.394892434</v>
      </c>
      <c r="AQ25" s="44" t="n">
        <f aca="false">SUMIF($D$4:$AM$4,AQ$4,$D25:$AM25)</f>
        <v>333978.884584737</v>
      </c>
    </row>
    <row r="26" customFormat="false" ht="15" hidden="false" customHeight="false" outlineLevel="0" collapsed="false">
      <c r="A26" s="10" t="s">
        <v>266</v>
      </c>
      <c r="B26" s="13" t="s">
        <v>66</v>
      </c>
      <c r="C26" s="58" t="n">
        <v>0</v>
      </c>
      <c r="D26" s="41" t="n">
        <f aca="false">IF(D19=0,0,D25/D19)</f>
        <v>0.585733512786003</v>
      </c>
      <c r="E26" s="41" t="n">
        <f aca="false">IF(E19=0,0,E25/E19)</f>
        <v>0.585733512786003</v>
      </c>
      <c r="F26" s="41" t="n">
        <f aca="false">IF(F19=0,0,F25/F19)</f>
        <v>0.583279742765273</v>
      </c>
      <c r="G26" s="41" t="n">
        <f aca="false">IF(G19=0,0,G25/G19)</f>
        <v>0.582358144824972</v>
      </c>
      <c r="H26" s="41" t="n">
        <f aca="false">IF(H19=0,0,H25/H19)</f>
        <v>0.581034482758621</v>
      </c>
      <c r="I26" s="41" t="n">
        <f aca="false">IF(I19=0,0,I25/I19)</f>
        <v>0.579776630238982</v>
      </c>
      <c r="J26" s="41" t="n">
        <f aca="false">IF(J19=0,0,J25/J19)</f>
        <v>0.581034482758621</v>
      </c>
      <c r="K26" s="41" t="n">
        <f aca="false">IF(K19=0,0,K25/K19)</f>
        <v>0.594683346364347</v>
      </c>
      <c r="L26" s="41" t="n">
        <f aca="false">IF(L19=0,0,L25/L19)</f>
        <v>0.581034482758621</v>
      </c>
      <c r="M26" s="41" t="n">
        <f aca="false">IF(M19=0,0,M25/M19)</f>
        <v>0.581909295915811</v>
      </c>
      <c r="N26" s="41" t="n">
        <f aca="false">IF(N19=0,0,N25/N19)</f>
        <v>0.583279742765273</v>
      </c>
      <c r="O26" s="41" t="n">
        <f aca="false">IF(O19=0,0,O25/O19)</f>
        <v>0.582358144824972</v>
      </c>
      <c r="P26" s="41" t="n">
        <f aca="false">IF(P19=0,0,P25/P19)</f>
        <v>0.585733512786003</v>
      </c>
      <c r="Q26" s="41" t="n">
        <f aca="false">IF(Q19=0,0,Q25/Q19)</f>
        <v>0.585733512786003</v>
      </c>
      <c r="R26" s="41" t="n">
        <f aca="false">IF(R19=0,0,R25/R19)</f>
        <v>0.583279742765273</v>
      </c>
      <c r="S26" s="41" t="n">
        <f aca="false">IF(S19=0,0,S25/S19)</f>
        <v>0.582358144824972</v>
      </c>
      <c r="T26" s="41" t="n">
        <f aca="false">IF(T19=0,0,T25/T19)</f>
        <v>0.581034482758621</v>
      </c>
      <c r="U26" s="41" t="n">
        <f aca="false">IF(U19=0,0,U25/U19)</f>
        <v>0.579776630238982</v>
      </c>
      <c r="V26" s="41" t="n">
        <f aca="false">IF(V19=0,0,V25/V19)</f>
        <v>0.581034482758621</v>
      </c>
      <c r="W26" s="41" t="n">
        <f aca="false">IF(W19=0,0,W25/W19)</f>
        <v>0.594683346364347</v>
      </c>
      <c r="X26" s="41" t="n">
        <f aca="false">IF(X19=0,0,X25/X19)</f>
        <v>0.581034482758621</v>
      </c>
      <c r="Y26" s="41" t="n">
        <f aca="false">IF(Y19=0,0,Y25/Y19)</f>
        <v>0.581909295915811</v>
      </c>
      <c r="Z26" s="41" t="n">
        <f aca="false">IF(Z19=0,0,Z25/Z19)</f>
        <v>0.583279742765273</v>
      </c>
      <c r="AA26" s="41" t="n">
        <f aca="false">IF(AA19=0,0,AA25/AA19)</f>
        <v>0.582358144824972</v>
      </c>
      <c r="AB26" s="41" t="n">
        <f aca="false">IF(AB19=0,0,AB25/AB19)</f>
        <v>0.585733512786003</v>
      </c>
      <c r="AC26" s="41" t="n">
        <f aca="false">IF(AC19=0,0,AC25/AC19)</f>
        <v>0.585733512786003</v>
      </c>
      <c r="AD26" s="41" t="n">
        <f aca="false">IF(AD19=0,0,AD25/AD19)</f>
        <v>0.583279742765273</v>
      </c>
      <c r="AE26" s="41" t="n">
        <f aca="false">IF(AE19=0,0,AE25/AE19)</f>
        <v>0.582358144824972</v>
      </c>
      <c r="AF26" s="41" t="n">
        <f aca="false">IF(AF19=0,0,AF25/AF19)</f>
        <v>0.581034482758621</v>
      </c>
      <c r="AG26" s="41" t="n">
        <f aca="false">IF(AG19=0,0,AG25/AG19)</f>
        <v>0.579776630238982</v>
      </c>
      <c r="AH26" s="41" t="n">
        <f aca="false">IF(AH19=0,0,AH25/AH19)</f>
        <v>0.581034482758621</v>
      </c>
      <c r="AI26" s="41" t="n">
        <f aca="false">IF(AI19=0,0,AI25/AI19)</f>
        <v>0.594683346364347</v>
      </c>
      <c r="AJ26" s="41" t="n">
        <f aca="false">IF(AJ19=0,0,AJ25/AJ19)</f>
        <v>0.581034482758621</v>
      </c>
      <c r="AK26" s="41" t="n">
        <f aca="false">IF(AK19=0,0,AK25/AK19)</f>
        <v>0.581909295915811</v>
      </c>
      <c r="AL26" s="41" t="n">
        <f aca="false">IF(AL19=0,0,AL25/AL19)</f>
        <v>0.583279742765273</v>
      </c>
      <c r="AM26" s="41" t="n">
        <f aca="false">IF(AM19=0,0,AM25/AM19)</f>
        <v>0.582358144824972</v>
      </c>
      <c r="AO26" s="41" t="n">
        <f aca="false">IF(AO19=0,0,AO25/AO19)</f>
        <v>0.583021411789484</v>
      </c>
      <c r="AP26" s="41" t="n">
        <f aca="false">IF(AP19=0,0,AP25/AP19)</f>
        <v>0.583164766617528</v>
      </c>
      <c r="AQ26" s="41" t="n">
        <f aca="false">IF(AQ19=0,0,AQ25/AQ19)</f>
        <v>0.58321257136165</v>
      </c>
    </row>
    <row r="27" customFormat="false" ht="15" hidden="false" customHeight="false" outlineLevel="0" collapsed="false">
      <c r="A27" s="5" t="s">
        <v>397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</row>
    <row r="28" customFormat="false" ht="15" hidden="false" customHeight="false" outlineLevel="0" collapsed="false">
      <c r="A28" s="10" t="s">
        <v>398</v>
      </c>
      <c r="B28" s="13" t="s">
        <v>366</v>
      </c>
      <c r="C28" s="50" t="n">
        <v>0</v>
      </c>
      <c r="D28" s="45" t="n">
        <f aca="false">MAX(1,ROUNDUP(D13/cap_operateur,0))</f>
        <v>1</v>
      </c>
      <c r="E28" s="45" t="n">
        <f aca="false">MAX(1,ROUNDUP(E13/cap_operateur,0))</f>
        <v>1</v>
      </c>
      <c r="F28" s="45" t="n">
        <f aca="false">MAX(1,ROUNDUP(F13/cap_operateur,0))</f>
        <v>1</v>
      </c>
      <c r="G28" s="45" t="n">
        <f aca="false">MAX(1,ROUNDUP(G13/cap_operateur,0))</f>
        <v>1</v>
      </c>
      <c r="H28" s="45" t="n">
        <f aca="false">MAX(1,ROUNDUP(H13/cap_operateur,0))</f>
        <v>1</v>
      </c>
      <c r="I28" s="45" t="n">
        <f aca="false">MAX(1,ROUNDUP(I13/cap_operateur,0))</f>
        <v>1</v>
      </c>
      <c r="J28" s="45" t="n">
        <f aca="false">MAX(1,ROUNDUP(J13/cap_operateur,0))</f>
        <v>1</v>
      </c>
      <c r="K28" s="45" t="n">
        <f aca="false">MAX(1,ROUNDUP(K13/cap_operateur,0))</f>
        <v>1</v>
      </c>
      <c r="L28" s="45" t="n">
        <f aca="false">MAX(1,ROUNDUP(L13/cap_operateur,0))</f>
        <v>1</v>
      </c>
      <c r="M28" s="45" t="n">
        <f aca="false">MAX(1,ROUNDUP(M13/cap_operateur,0))</f>
        <v>1</v>
      </c>
      <c r="N28" s="45" t="n">
        <f aca="false">MAX(1,ROUNDUP(N13/cap_operateur,0))</f>
        <v>1</v>
      </c>
      <c r="O28" s="45" t="n">
        <f aca="false">MAX(1,ROUNDUP(O13/cap_operateur,0))</f>
        <v>1</v>
      </c>
      <c r="P28" s="45" t="n">
        <f aca="false">MAX(1,ROUNDUP(P13/cap_operateur,0))</f>
        <v>1</v>
      </c>
      <c r="Q28" s="45" t="n">
        <f aca="false">MAX(1,ROUNDUP(Q13/cap_operateur,0))</f>
        <v>1</v>
      </c>
      <c r="R28" s="45" t="n">
        <f aca="false">MAX(1,ROUNDUP(R13/cap_operateur,0))</f>
        <v>1</v>
      </c>
      <c r="S28" s="45" t="n">
        <f aca="false">MAX(1,ROUNDUP(S13/cap_operateur,0))</f>
        <v>1</v>
      </c>
      <c r="T28" s="45" t="n">
        <f aca="false">MAX(1,ROUNDUP(T13/cap_operateur,0))</f>
        <v>1</v>
      </c>
      <c r="U28" s="45" t="n">
        <f aca="false">MAX(1,ROUNDUP(U13/cap_operateur,0))</f>
        <v>1</v>
      </c>
      <c r="V28" s="45" t="n">
        <f aca="false">MAX(1,ROUNDUP(V13/cap_operateur,0))</f>
        <v>1</v>
      </c>
      <c r="W28" s="45" t="n">
        <f aca="false">MAX(1,ROUNDUP(W13/cap_operateur,0))</f>
        <v>1</v>
      </c>
      <c r="X28" s="45" t="n">
        <f aca="false">MAX(1,ROUNDUP(X13/cap_operateur,0))</f>
        <v>1</v>
      </c>
      <c r="Y28" s="45" t="n">
        <f aca="false">MAX(1,ROUNDUP(Y13/cap_operateur,0))</f>
        <v>1</v>
      </c>
      <c r="Z28" s="45" t="n">
        <f aca="false">MAX(1,ROUNDUP(Z13/cap_operateur,0))</f>
        <v>2</v>
      </c>
      <c r="AA28" s="45" t="n">
        <f aca="false">MAX(1,ROUNDUP(AA13/cap_operateur,0))</f>
        <v>2</v>
      </c>
      <c r="AB28" s="45" t="n">
        <f aca="false">MAX(1,ROUNDUP(AB13/cap_operateur,0))</f>
        <v>2</v>
      </c>
      <c r="AC28" s="45" t="n">
        <f aca="false">MAX(1,ROUNDUP(AC13/cap_operateur,0))</f>
        <v>2</v>
      </c>
      <c r="AD28" s="45" t="n">
        <f aca="false">MAX(1,ROUNDUP(AD13/cap_operateur,0))</f>
        <v>2</v>
      </c>
      <c r="AE28" s="45" t="n">
        <f aca="false">MAX(1,ROUNDUP(AE13/cap_operateur,0))</f>
        <v>2</v>
      </c>
      <c r="AF28" s="45" t="n">
        <f aca="false">MAX(1,ROUNDUP(AF13/cap_operateur,0))</f>
        <v>2</v>
      </c>
      <c r="AG28" s="45" t="n">
        <f aca="false">MAX(1,ROUNDUP(AG13/cap_operateur,0))</f>
        <v>2</v>
      </c>
      <c r="AH28" s="45" t="n">
        <f aca="false">MAX(1,ROUNDUP(AH13/cap_operateur,0))</f>
        <v>2</v>
      </c>
      <c r="AI28" s="45" t="n">
        <f aca="false">MAX(1,ROUNDUP(AI13/cap_operateur,0))</f>
        <v>2</v>
      </c>
      <c r="AJ28" s="45" t="n">
        <f aca="false">MAX(1,ROUNDUP(AJ13/cap_operateur,0))</f>
        <v>2</v>
      </c>
      <c r="AK28" s="45" t="n">
        <f aca="false">MAX(1,ROUNDUP(AK13/cap_operateur,0))</f>
        <v>2</v>
      </c>
      <c r="AL28" s="45" t="n">
        <f aca="false">MAX(1,ROUNDUP(AL13/cap_operateur,0))</f>
        <v>2</v>
      </c>
      <c r="AM28" s="45" t="n">
        <f aca="false">MAX(1,ROUNDUP(AM13/cap_operateur,0))</f>
        <v>2</v>
      </c>
      <c r="AO28" s="45" t="n">
        <f aca="false">INDEX($D28:$AM28,(AO$4-annee_debut)*12+12)</f>
        <v>1</v>
      </c>
      <c r="AP28" s="45" t="n">
        <f aca="false">INDEX($D28:$AM28,(AP$4-annee_debut)*12+12)</f>
        <v>2</v>
      </c>
      <c r="AQ28" s="45" t="n">
        <f aca="false">INDEX($D28:$AM28,(AQ$4-annee_debut)*12+12)</f>
        <v>2</v>
      </c>
    </row>
    <row r="29" customFormat="false" ht="15" hidden="false" customHeight="false" outlineLevel="0" collapsed="false">
      <c r="A29" s="10" t="s">
        <v>399</v>
      </c>
      <c r="B29" s="13" t="s">
        <v>366</v>
      </c>
      <c r="C29" s="50" t="n">
        <v>0</v>
      </c>
      <c r="D29" s="45" t="n">
        <f aca="false">MAX(1,ROUNDUP(D13/cap_chauffeur,0))</f>
        <v>1</v>
      </c>
      <c r="E29" s="45" t="n">
        <f aca="false">MAX(1,ROUNDUP(E13/cap_chauffeur,0))</f>
        <v>1</v>
      </c>
      <c r="F29" s="45" t="n">
        <f aca="false">MAX(1,ROUNDUP(F13/cap_chauffeur,0))</f>
        <v>1</v>
      </c>
      <c r="G29" s="45" t="n">
        <f aca="false">MAX(1,ROUNDUP(G13/cap_chauffeur,0))</f>
        <v>1</v>
      </c>
      <c r="H29" s="45" t="n">
        <f aca="false">MAX(1,ROUNDUP(H13/cap_chauffeur,0))</f>
        <v>1</v>
      </c>
      <c r="I29" s="45" t="n">
        <f aca="false">MAX(1,ROUNDUP(I13/cap_chauffeur,0))</f>
        <v>1</v>
      </c>
      <c r="J29" s="45" t="n">
        <f aca="false">MAX(1,ROUNDUP(J13/cap_chauffeur,0))</f>
        <v>1</v>
      </c>
      <c r="K29" s="45" t="n">
        <f aca="false">MAX(1,ROUNDUP(K13/cap_chauffeur,0))</f>
        <v>1</v>
      </c>
      <c r="L29" s="45" t="n">
        <f aca="false">MAX(1,ROUNDUP(L13/cap_chauffeur,0))</f>
        <v>1</v>
      </c>
      <c r="M29" s="45" t="n">
        <f aca="false">MAX(1,ROUNDUP(M13/cap_chauffeur,0))</f>
        <v>1</v>
      </c>
      <c r="N29" s="45" t="n">
        <f aca="false">MAX(1,ROUNDUP(N13/cap_chauffeur,0))</f>
        <v>1</v>
      </c>
      <c r="O29" s="45" t="n">
        <f aca="false">MAX(1,ROUNDUP(O13/cap_chauffeur,0))</f>
        <v>1</v>
      </c>
      <c r="P29" s="45" t="n">
        <f aca="false">MAX(1,ROUNDUP(P13/cap_chauffeur,0))</f>
        <v>1</v>
      </c>
      <c r="Q29" s="45" t="n">
        <f aca="false">MAX(1,ROUNDUP(Q13/cap_chauffeur,0))</f>
        <v>1</v>
      </c>
      <c r="R29" s="45" t="n">
        <f aca="false">MAX(1,ROUNDUP(R13/cap_chauffeur,0))</f>
        <v>1</v>
      </c>
      <c r="S29" s="45" t="n">
        <f aca="false">MAX(1,ROUNDUP(S13/cap_chauffeur,0))</f>
        <v>1</v>
      </c>
      <c r="T29" s="45" t="n">
        <f aca="false">MAX(1,ROUNDUP(T13/cap_chauffeur,0))</f>
        <v>1</v>
      </c>
      <c r="U29" s="45" t="n">
        <f aca="false">MAX(1,ROUNDUP(U13/cap_chauffeur,0))</f>
        <v>2</v>
      </c>
      <c r="V29" s="45" t="n">
        <f aca="false">MAX(1,ROUNDUP(V13/cap_chauffeur,0))</f>
        <v>2</v>
      </c>
      <c r="W29" s="45" t="n">
        <f aca="false">MAX(1,ROUNDUP(W13/cap_chauffeur,0))</f>
        <v>1</v>
      </c>
      <c r="X29" s="45" t="n">
        <f aca="false">MAX(1,ROUNDUP(X13/cap_chauffeur,0))</f>
        <v>2</v>
      </c>
      <c r="Y29" s="45" t="n">
        <f aca="false">MAX(1,ROUNDUP(Y13/cap_chauffeur,0))</f>
        <v>2</v>
      </c>
      <c r="Z29" s="45" t="n">
        <f aca="false">MAX(1,ROUNDUP(Z13/cap_chauffeur,0))</f>
        <v>2</v>
      </c>
      <c r="AA29" s="45" t="n">
        <f aca="false">MAX(1,ROUNDUP(AA13/cap_chauffeur,0))</f>
        <v>2</v>
      </c>
      <c r="AB29" s="45" t="n">
        <f aca="false">MAX(1,ROUNDUP(AB13/cap_chauffeur,0))</f>
        <v>2</v>
      </c>
      <c r="AC29" s="45" t="n">
        <f aca="false">MAX(1,ROUNDUP(AC13/cap_chauffeur,0))</f>
        <v>2</v>
      </c>
      <c r="AD29" s="45" t="n">
        <f aca="false">MAX(1,ROUNDUP(AD13/cap_chauffeur,0))</f>
        <v>2</v>
      </c>
      <c r="AE29" s="45" t="n">
        <f aca="false">MAX(1,ROUNDUP(AE13/cap_chauffeur,0))</f>
        <v>2</v>
      </c>
      <c r="AF29" s="45" t="n">
        <f aca="false">MAX(1,ROUNDUP(AF13/cap_chauffeur,0))</f>
        <v>2</v>
      </c>
      <c r="AG29" s="45" t="n">
        <f aca="false">MAX(1,ROUNDUP(AG13/cap_chauffeur,0))</f>
        <v>3</v>
      </c>
      <c r="AH29" s="45" t="n">
        <f aca="false">MAX(1,ROUNDUP(AH13/cap_chauffeur,0))</f>
        <v>3</v>
      </c>
      <c r="AI29" s="45" t="n">
        <f aca="false">MAX(1,ROUNDUP(AI13/cap_chauffeur,0))</f>
        <v>2</v>
      </c>
      <c r="AJ29" s="45" t="n">
        <f aca="false">MAX(1,ROUNDUP(AJ13/cap_chauffeur,0))</f>
        <v>3</v>
      </c>
      <c r="AK29" s="45" t="n">
        <f aca="false">MAX(1,ROUNDUP(AK13/cap_chauffeur,0))</f>
        <v>3</v>
      </c>
      <c r="AL29" s="45" t="n">
        <f aca="false">MAX(1,ROUNDUP(AL13/cap_chauffeur,0))</f>
        <v>3</v>
      </c>
      <c r="AM29" s="45" t="n">
        <f aca="false">MAX(1,ROUNDUP(AM13/cap_chauffeur,0))</f>
        <v>3</v>
      </c>
      <c r="AO29" s="45" t="n">
        <f aca="false">INDEX($D29:$AM29,(AO$4-annee_debut)*12+12)</f>
        <v>1</v>
      </c>
      <c r="AP29" s="45" t="n">
        <f aca="false">INDEX($D29:$AM29,(AP$4-annee_debut)*12+12)</f>
        <v>2</v>
      </c>
      <c r="AQ29" s="45" t="n">
        <f aca="false">INDEX($D29:$AM29,(AQ$4-annee_debut)*12+12)</f>
        <v>3</v>
      </c>
    </row>
    <row r="30" customFormat="false" ht="15" hidden="false" customHeight="false" outlineLevel="0" collapsed="false">
      <c r="A30" s="10" t="s">
        <v>400</v>
      </c>
      <c r="B30" s="13" t="s">
        <v>366</v>
      </c>
      <c r="C30" s="50" t="n">
        <v>0</v>
      </c>
      <c r="D30" s="45" t="n">
        <f aca="false">IF(D$6&gt;=embauche_com1,1,0)+IF(AND(embauche_com2_p&gt;0,D$6&gt;=embauche_com2_p),1,0)</f>
        <v>0</v>
      </c>
      <c r="E30" s="45" t="n">
        <f aca="false">IF(E$6&gt;=embauche_com1,1,0)+IF(AND(embauche_com2_p&gt;0,E$6&gt;=embauche_com2_p),1,0)</f>
        <v>0</v>
      </c>
      <c r="F30" s="45" t="n">
        <f aca="false">IF(F$6&gt;=embauche_com1,1,0)+IF(AND(embauche_com2_p&gt;0,F$6&gt;=embauche_com2_p),1,0)</f>
        <v>0</v>
      </c>
      <c r="G30" s="45" t="n">
        <f aca="false">IF(G$6&gt;=embauche_com1,1,0)+IF(AND(embauche_com2_p&gt;0,G$6&gt;=embauche_com2_p),1,0)</f>
        <v>1</v>
      </c>
      <c r="H30" s="45" t="n">
        <f aca="false">IF(H$6&gt;=embauche_com1,1,0)+IF(AND(embauche_com2_p&gt;0,H$6&gt;=embauche_com2_p),1,0)</f>
        <v>1</v>
      </c>
      <c r="I30" s="45" t="n">
        <f aca="false">IF(I$6&gt;=embauche_com1,1,0)+IF(AND(embauche_com2_p&gt;0,I$6&gt;=embauche_com2_p),1,0)</f>
        <v>1</v>
      </c>
      <c r="J30" s="45" t="n">
        <f aca="false">IF(J$6&gt;=embauche_com1,1,0)+IF(AND(embauche_com2_p&gt;0,J$6&gt;=embauche_com2_p),1,0)</f>
        <v>1</v>
      </c>
      <c r="K30" s="45" t="n">
        <f aca="false">IF(K$6&gt;=embauche_com1,1,0)+IF(AND(embauche_com2_p&gt;0,K$6&gt;=embauche_com2_p),1,0)</f>
        <v>1</v>
      </c>
      <c r="L30" s="45" t="n">
        <f aca="false">IF(L$6&gt;=embauche_com1,1,0)+IF(AND(embauche_com2_p&gt;0,L$6&gt;=embauche_com2_p),1,0)</f>
        <v>1</v>
      </c>
      <c r="M30" s="45" t="n">
        <f aca="false">IF(M$6&gt;=embauche_com1,1,0)+IF(AND(embauche_com2_p&gt;0,M$6&gt;=embauche_com2_p),1,0)</f>
        <v>1</v>
      </c>
      <c r="N30" s="45" t="n">
        <f aca="false">IF(N$6&gt;=embauche_com1,1,0)+IF(AND(embauche_com2_p&gt;0,N$6&gt;=embauche_com2_p),1,0)</f>
        <v>1</v>
      </c>
      <c r="O30" s="45" t="n">
        <f aca="false">IF(O$6&gt;=embauche_com1,1,0)+IF(AND(embauche_com2_p&gt;0,O$6&gt;=embauche_com2_p),1,0)</f>
        <v>1</v>
      </c>
      <c r="P30" s="45" t="n">
        <f aca="false">IF(P$6&gt;=embauche_com1,1,0)+IF(AND(embauche_com2_p&gt;0,P$6&gt;=embauche_com2_p),1,0)</f>
        <v>1</v>
      </c>
      <c r="Q30" s="45" t="n">
        <f aca="false">IF(Q$6&gt;=embauche_com1,1,0)+IF(AND(embauche_com2_p&gt;0,Q$6&gt;=embauche_com2_p),1,0)</f>
        <v>1</v>
      </c>
      <c r="R30" s="45" t="n">
        <f aca="false">IF(R$6&gt;=embauche_com1,1,0)+IF(AND(embauche_com2_p&gt;0,R$6&gt;=embauche_com2_p),1,0)</f>
        <v>1</v>
      </c>
      <c r="S30" s="45" t="n">
        <f aca="false">IF(S$6&gt;=embauche_com1,1,0)+IF(AND(embauche_com2_p&gt;0,S$6&gt;=embauche_com2_p),1,0)</f>
        <v>1</v>
      </c>
      <c r="T30" s="45" t="n">
        <f aca="false">IF(T$6&gt;=embauche_com1,1,0)+IF(AND(embauche_com2_p&gt;0,T$6&gt;=embauche_com2_p),1,0)</f>
        <v>1</v>
      </c>
      <c r="U30" s="45" t="n">
        <f aca="false">IF(U$6&gt;=embauche_com1,1,0)+IF(AND(embauche_com2_p&gt;0,U$6&gt;=embauche_com2_p),1,0)</f>
        <v>1</v>
      </c>
      <c r="V30" s="45" t="n">
        <f aca="false">IF(V$6&gt;=embauche_com1,1,0)+IF(AND(embauche_com2_p&gt;0,V$6&gt;=embauche_com2_p),1,0)</f>
        <v>1</v>
      </c>
      <c r="W30" s="45" t="n">
        <f aca="false">IF(W$6&gt;=embauche_com1,1,0)+IF(AND(embauche_com2_p&gt;0,W$6&gt;=embauche_com2_p),1,0)</f>
        <v>1</v>
      </c>
      <c r="X30" s="45" t="n">
        <f aca="false">IF(X$6&gt;=embauche_com1,1,0)+IF(AND(embauche_com2_p&gt;0,X$6&gt;=embauche_com2_p),1,0)</f>
        <v>1</v>
      </c>
      <c r="Y30" s="45" t="n">
        <f aca="false">IF(Y$6&gt;=embauche_com1,1,0)+IF(AND(embauche_com2_p&gt;0,Y$6&gt;=embauche_com2_p),1,0)</f>
        <v>1</v>
      </c>
      <c r="Z30" s="45" t="n">
        <f aca="false">IF(Z$6&gt;=embauche_com1,1,0)+IF(AND(embauche_com2_p&gt;0,Z$6&gt;=embauche_com2_p),1,0)</f>
        <v>1</v>
      </c>
      <c r="AA30" s="45" t="n">
        <f aca="false">IF(AA$6&gt;=embauche_com1,1,0)+IF(AND(embauche_com2_p&gt;0,AA$6&gt;=embauche_com2_p),1,0)</f>
        <v>1</v>
      </c>
      <c r="AB30" s="45" t="n">
        <f aca="false">IF(AB$6&gt;=embauche_com1,1,0)+IF(AND(embauche_com2_p&gt;0,AB$6&gt;=embauche_com2_p),1,0)</f>
        <v>1</v>
      </c>
      <c r="AC30" s="45" t="n">
        <f aca="false">IF(AC$6&gt;=embauche_com1,1,0)+IF(AND(embauche_com2_p&gt;0,AC$6&gt;=embauche_com2_p),1,0)</f>
        <v>1</v>
      </c>
      <c r="AD30" s="45" t="n">
        <f aca="false">IF(AD$6&gt;=embauche_com1,1,0)+IF(AND(embauche_com2_p&gt;0,AD$6&gt;=embauche_com2_p),1,0)</f>
        <v>1</v>
      </c>
      <c r="AE30" s="45" t="n">
        <f aca="false">IF(AE$6&gt;=embauche_com1,1,0)+IF(AND(embauche_com2_p&gt;0,AE$6&gt;=embauche_com2_p),1,0)</f>
        <v>1</v>
      </c>
      <c r="AF30" s="45" t="n">
        <f aca="false">IF(AF$6&gt;=embauche_com1,1,0)+IF(AND(embauche_com2_p&gt;0,AF$6&gt;=embauche_com2_p),1,0)</f>
        <v>1</v>
      </c>
      <c r="AG30" s="45" t="n">
        <f aca="false">IF(AG$6&gt;=embauche_com1,1,0)+IF(AND(embauche_com2_p&gt;0,AG$6&gt;=embauche_com2_p),1,0)</f>
        <v>1</v>
      </c>
      <c r="AH30" s="45" t="n">
        <f aca="false">IF(AH$6&gt;=embauche_com1,1,0)+IF(AND(embauche_com2_p&gt;0,AH$6&gt;=embauche_com2_p),1,0)</f>
        <v>1</v>
      </c>
      <c r="AI30" s="45" t="n">
        <f aca="false">IF(AI$6&gt;=embauche_com1,1,0)+IF(AND(embauche_com2_p&gt;0,AI$6&gt;=embauche_com2_p),1,0)</f>
        <v>1</v>
      </c>
      <c r="AJ30" s="45" t="n">
        <f aca="false">IF(AJ$6&gt;=embauche_com1,1,0)+IF(AND(embauche_com2_p&gt;0,AJ$6&gt;=embauche_com2_p),1,0)</f>
        <v>1</v>
      </c>
      <c r="AK30" s="45" t="n">
        <f aca="false">IF(AK$6&gt;=embauche_com1,1,0)+IF(AND(embauche_com2_p&gt;0,AK$6&gt;=embauche_com2_p),1,0)</f>
        <v>1</v>
      </c>
      <c r="AL30" s="45" t="n">
        <f aca="false">IF(AL$6&gt;=embauche_com1,1,0)+IF(AND(embauche_com2_p&gt;0,AL$6&gt;=embauche_com2_p),1,0)</f>
        <v>1</v>
      </c>
      <c r="AM30" s="45" t="n">
        <f aca="false">IF(AM$6&gt;=embauche_com1,1,0)+IF(AND(embauche_com2_p&gt;0,AM$6&gt;=embauche_com2_p),1,0)</f>
        <v>1</v>
      </c>
      <c r="AO30" s="45" t="n">
        <f aca="false">INDEX($D30:$AM30,(AO$4-annee_debut)*12+12)</f>
        <v>1</v>
      </c>
      <c r="AP30" s="45" t="n">
        <f aca="false">INDEX($D30:$AM30,(AP$4-annee_debut)*12+12)</f>
        <v>1</v>
      </c>
      <c r="AQ30" s="45" t="n">
        <f aca="false">INDEX($D30:$AM30,(AQ$4-annee_debut)*12+12)</f>
        <v>1</v>
      </c>
    </row>
    <row r="31" customFormat="false" ht="15" hidden="false" customHeight="false" outlineLevel="0" collapsed="false">
      <c r="A31" s="10" t="s">
        <v>401</v>
      </c>
      <c r="B31" s="13" t="s">
        <v>366</v>
      </c>
      <c r="C31" s="50" t="n">
        <v>0</v>
      </c>
      <c r="D31" s="45" t="n">
        <f aca="false">IF(D$6&gt;=embauche_resp,1,0)</f>
        <v>0</v>
      </c>
      <c r="E31" s="45" t="n">
        <f aca="false">IF(E$6&gt;=embauche_resp,1,0)</f>
        <v>0</v>
      </c>
      <c r="F31" s="45" t="n">
        <f aca="false">IF(F$6&gt;=embauche_resp,1,0)</f>
        <v>0</v>
      </c>
      <c r="G31" s="45" t="n">
        <f aca="false">IF(G$6&gt;=embauche_resp,1,0)</f>
        <v>0</v>
      </c>
      <c r="H31" s="45" t="n">
        <f aca="false">IF(H$6&gt;=embauche_resp,1,0)</f>
        <v>0</v>
      </c>
      <c r="I31" s="45" t="n">
        <f aca="false">IF(I$6&gt;=embauche_resp,1,0)</f>
        <v>0</v>
      </c>
      <c r="J31" s="45" t="n">
        <f aca="false">IF(J$6&gt;=embauche_resp,1,0)</f>
        <v>0</v>
      </c>
      <c r="K31" s="45" t="n">
        <f aca="false">IF(K$6&gt;=embauche_resp,1,0)</f>
        <v>0</v>
      </c>
      <c r="L31" s="45" t="n">
        <f aca="false">IF(L$6&gt;=embauche_resp,1,0)</f>
        <v>0</v>
      </c>
      <c r="M31" s="45" t="n">
        <f aca="false">IF(M$6&gt;=embauche_resp,1,0)</f>
        <v>0</v>
      </c>
      <c r="N31" s="45" t="n">
        <f aca="false">IF(N$6&gt;=embauche_resp,1,0)</f>
        <v>0</v>
      </c>
      <c r="O31" s="45" t="n">
        <f aca="false">IF(O$6&gt;=embauche_resp,1,0)</f>
        <v>0</v>
      </c>
      <c r="P31" s="45" t="n">
        <f aca="false">IF(P$6&gt;=embauche_resp,1,0)</f>
        <v>1</v>
      </c>
      <c r="Q31" s="45" t="n">
        <f aca="false">IF(Q$6&gt;=embauche_resp,1,0)</f>
        <v>1</v>
      </c>
      <c r="R31" s="45" t="n">
        <f aca="false">IF(R$6&gt;=embauche_resp,1,0)</f>
        <v>1</v>
      </c>
      <c r="S31" s="45" t="n">
        <f aca="false">IF(S$6&gt;=embauche_resp,1,0)</f>
        <v>1</v>
      </c>
      <c r="T31" s="45" t="n">
        <f aca="false">IF(T$6&gt;=embauche_resp,1,0)</f>
        <v>1</v>
      </c>
      <c r="U31" s="45" t="n">
        <f aca="false">IF(U$6&gt;=embauche_resp,1,0)</f>
        <v>1</v>
      </c>
      <c r="V31" s="45" t="n">
        <f aca="false">IF(V$6&gt;=embauche_resp,1,0)</f>
        <v>1</v>
      </c>
      <c r="W31" s="45" t="n">
        <f aca="false">IF(W$6&gt;=embauche_resp,1,0)</f>
        <v>1</v>
      </c>
      <c r="X31" s="45" t="n">
        <f aca="false">IF(X$6&gt;=embauche_resp,1,0)</f>
        <v>1</v>
      </c>
      <c r="Y31" s="45" t="n">
        <f aca="false">IF(Y$6&gt;=embauche_resp,1,0)</f>
        <v>1</v>
      </c>
      <c r="Z31" s="45" t="n">
        <f aca="false">IF(Z$6&gt;=embauche_resp,1,0)</f>
        <v>1</v>
      </c>
      <c r="AA31" s="45" t="n">
        <f aca="false">IF(AA$6&gt;=embauche_resp,1,0)</f>
        <v>1</v>
      </c>
      <c r="AB31" s="45" t="n">
        <f aca="false">IF(AB$6&gt;=embauche_resp,1,0)</f>
        <v>1</v>
      </c>
      <c r="AC31" s="45" t="n">
        <f aca="false">IF(AC$6&gt;=embauche_resp,1,0)</f>
        <v>1</v>
      </c>
      <c r="AD31" s="45" t="n">
        <f aca="false">IF(AD$6&gt;=embauche_resp,1,0)</f>
        <v>1</v>
      </c>
      <c r="AE31" s="45" t="n">
        <f aca="false">IF(AE$6&gt;=embauche_resp,1,0)</f>
        <v>1</v>
      </c>
      <c r="AF31" s="45" t="n">
        <f aca="false">IF(AF$6&gt;=embauche_resp,1,0)</f>
        <v>1</v>
      </c>
      <c r="AG31" s="45" t="n">
        <f aca="false">IF(AG$6&gt;=embauche_resp,1,0)</f>
        <v>1</v>
      </c>
      <c r="AH31" s="45" t="n">
        <f aca="false">IF(AH$6&gt;=embauche_resp,1,0)</f>
        <v>1</v>
      </c>
      <c r="AI31" s="45" t="n">
        <f aca="false">IF(AI$6&gt;=embauche_resp,1,0)</f>
        <v>1</v>
      </c>
      <c r="AJ31" s="45" t="n">
        <f aca="false">IF(AJ$6&gt;=embauche_resp,1,0)</f>
        <v>1</v>
      </c>
      <c r="AK31" s="45" t="n">
        <f aca="false">IF(AK$6&gt;=embauche_resp,1,0)</f>
        <v>1</v>
      </c>
      <c r="AL31" s="45" t="n">
        <f aca="false">IF(AL$6&gt;=embauche_resp,1,0)</f>
        <v>1</v>
      </c>
      <c r="AM31" s="45" t="n">
        <f aca="false">IF(AM$6&gt;=embauche_resp,1,0)</f>
        <v>1</v>
      </c>
      <c r="AO31" s="45" t="n">
        <f aca="false">INDEX($D31:$AM31,(AO$4-annee_debut)*12+12)</f>
        <v>0</v>
      </c>
      <c r="AP31" s="45" t="n">
        <f aca="false">INDEX($D31:$AM31,(AP$4-annee_debut)*12+12)</f>
        <v>1</v>
      </c>
      <c r="AQ31" s="45" t="n">
        <f aca="false">INDEX($D31:$AM31,(AQ$4-annee_debut)*12+12)</f>
        <v>1</v>
      </c>
    </row>
    <row r="32" customFormat="false" ht="15" hidden="false" customHeight="false" outlineLevel="0" collapsed="false">
      <c r="A32" s="10" t="s">
        <v>126</v>
      </c>
      <c r="B32" s="13" t="s">
        <v>366</v>
      </c>
      <c r="C32" s="50" t="n">
        <v>0</v>
      </c>
      <c r="D32" s="45" t="n">
        <f aca="false">nb_fondateurs</f>
        <v>2</v>
      </c>
      <c r="E32" s="45" t="n">
        <f aca="false">nb_fondateurs</f>
        <v>2</v>
      </c>
      <c r="F32" s="45" t="n">
        <f aca="false">nb_fondateurs</f>
        <v>2</v>
      </c>
      <c r="G32" s="45" t="n">
        <f aca="false">nb_fondateurs</f>
        <v>2</v>
      </c>
      <c r="H32" s="45" t="n">
        <f aca="false">nb_fondateurs</f>
        <v>2</v>
      </c>
      <c r="I32" s="45" t="n">
        <f aca="false">nb_fondateurs</f>
        <v>2</v>
      </c>
      <c r="J32" s="45" t="n">
        <f aca="false">nb_fondateurs</f>
        <v>2</v>
      </c>
      <c r="K32" s="45" t="n">
        <f aca="false">nb_fondateurs</f>
        <v>2</v>
      </c>
      <c r="L32" s="45" t="n">
        <f aca="false">nb_fondateurs</f>
        <v>2</v>
      </c>
      <c r="M32" s="45" t="n">
        <f aca="false">nb_fondateurs</f>
        <v>2</v>
      </c>
      <c r="N32" s="45" t="n">
        <f aca="false">nb_fondateurs</f>
        <v>2</v>
      </c>
      <c r="O32" s="45" t="n">
        <f aca="false">nb_fondateurs</f>
        <v>2</v>
      </c>
      <c r="P32" s="45" t="n">
        <f aca="false">nb_fondateurs</f>
        <v>2</v>
      </c>
      <c r="Q32" s="45" t="n">
        <f aca="false">nb_fondateurs</f>
        <v>2</v>
      </c>
      <c r="R32" s="45" t="n">
        <f aca="false">nb_fondateurs</f>
        <v>2</v>
      </c>
      <c r="S32" s="45" t="n">
        <f aca="false">nb_fondateurs</f>
        <v>2</v>
      </c>
      <c r="T32" s="45" t="n">
        <f aca="false">nb_fondateurs</f>
        <v>2</v>
      </c>
      <c r="U32" s="45" t="n">
        <f aca="false">nb_fondateurs</f>
        <v>2</v>
      </c>
      <c r="V32" s="45" t="n">
        <f aca="false">nb_fondateurs</f>
        <v>2</v>
      </c>
      <c r="W32" s="45" t="n">
        <f aca="false">nb_fondateurs</f>
        <v>2</v>
      </c>
      <c r="X32" s="45" t="n">
        <f aca="false">nb_fondateurs</f>
        <v>2</v>
      </c>
      <c r="Y32" s="45" t="n">
        <f aca="false">nb_fondateurs</f>
        <v>2</v>
      </c>
      <c r="Z32" s="45" t="n">
        <f aca="false">nb_fondateurs</f>
        <v>2</v>
      </c>
      <c r="AA32" s="45" t="n">
        <f aca="false">nb_fondateurs</f>
        <v>2</v>
      </c>
      <c r="AB32" s="45" t="n">
        <f aca="false">nb_fondateurs</f>
        <v>2</v>
      </c>
      <c r="AC32" s="45" t="n">
        <f aca="false">nb_fondateurs</f>
        <v>2</v>
      </c>
      <c r="AD32" s="45" t="n">
        <f aca="false">nb_fondateurs</f>
        <v>2</v>
      </c>
      <c r="AE32" s="45" t="n">
        <f aca="false">nb_fondateurs</f>
        <v>2</v>
      </c>
      <c r="AF32" s="45" t="n">
        <f aca="false">nb_fondateurs</f>
        <v>2</v>
      </c>
      <c r="AG32" s="45" t="n">
        <f aca="false">nb_fondateurs</f>
        <v>2</v>
      </c>
      <c r="AH32" s="45" t="n">
        <f aca="false">nb_fondateurs</f>
        <v>2</v>
      </c>
      <c r="AI32" s="45" t="n">
        <f aca="false">nb_fondateurs</f>
        <v>2</v>
      </c>
      <c r="AJ32" s="45" t="n">
        <f aca="false">nb_fondateurs</f>
        <v>2</v>
      </c>
      <c r="AK32" s="45" t="n">
        <f aca="false">nb_fondateurs</f>
        <v>2</v>
      </c>
      <c r="AL32" s="45" t="n">
        <f aca="false">nb_fondateurs</f>
        <v>2</v>
      </c>
      <c r="AM32" s="45" t="n">
        <f aca="false">nb_fondateurs</f>
        <v>2</v>
      </c>
      <c r="AO32" s="45" t="n">
        <f aca="false">INDEX($D32:$AM32,(AO$4-annee_debut)*12+12)</f>
        <v>2</v>
      </c>
      <c r="AP32" s="45" t="n">
        <f aca="false">INDEX($D32:$AM32,(AP$4-annee_debut)*12+12)</f>
        <v>2</v>
      </c>
      <c r="AQ32" s="45" t="n">
        <f aca="false">INDEX($D32:$AM32,(AQ$4-annee_debut)*12+12)</f>
        <v>2</v>
      </c>
    </row>
    <row r="33" customFormat="false" ht="15" hidden="false" customHeight="false" outlineLevel="0" collapsed="false">
      <c r="A33" s="11" t="s">
        <v>402</v>
      </c>
      <c r="B33" s="13" t="s">
        <v>366</v>
      </c>
      <c r="C33" s="50" t="n">
        <v>0</v>
      </c>
      <c r="D33" s="44" t="n">
        <f aca="false">SUM(D28:D32)</f>
        <v>4</v>
      </c>
      <c r="E33" s="44" t="n">
        <f aca="false">SUM(E28:E32)</f>
        <v>4</v>
      </c>
      <c r="F33" s="44" t="n">
        <f aca="false">SUM(F28:F32)</f>
        <v>4</v>
      </c>
      <c r="G33" s="44" t="n">
        <f aca="false">SUM(G28:G32)</f>
        <v>5</v>
      </c>
      <c r="H33" s="44" t="n">
        <f aca="false">SUM(H28:H32)</f>
        <v>5</v>
      </c>
      <c r="I33" s="44" t="n">
        <f aca="false">SUM(I28:I32)</f>
        <v>5</v>
      </c>
      <c r="J33" s="44" t="n">
        <f aca="false">SUM(J28:J32)</f>
        <v>5</v>
      </c>
      <c r="K33" s="44" t="n">
        <f aca="false">SUM(K28:K32)</f>
        <v>5</v>
      </c>
      <c r="L33" s="44" t="n">
        <f aca="false">SUM(L28:L32)</f>
        <v>5</v>
      </c>
      <c r="M33" s="44" t="n">
        <f aca="false">SUM(M28:M32)</f>
        <v>5</v>
      </c>
      <c r="N33" s="44" t="n">
        <f aca="false">SUM(N28:N32)</f>
        <v>5</v>
      </c>
      <c r="O33" s="44" t="n">
        <f aca="false">SUM(O28:O32)</f>
        <v>5</v>
      </c>
      <c r="P33" s="44" t="n">
        <f aca="false">SUM(P28:P32)</f>
        <v>6</v>
      </c>
      <c r="Q33" s="44" t="n">
        <f aca="false">SUM(Q28:Q32)</f>
        <v>6</v>
      </c>
      <c r="R33" s="44" t="n">
        <f aca="false">SUM(R28:R32)</f>
        <v>6</v>
      </c>
      <c r="S33" s="44" t="n">
        <f aca="false">SUM(S28:S32)</f>
        <v>6</v>
      </c>
      <c r="T33" s="44" t="n">
        <f aca="false">SUM(T28:T32)</f>
        <v>6</v>
      </c>
      <c r="U33" s="44" t="n">
        <f aca="false">SUM(U28:U32)</f>
        <v>7</v>
      </c>
      <c r="V33" s="44" t="n">
        <f aca="false">SUM(V28:V32)</f>
        <v>7</v>
      </c>
      <c r="W33" s="44" t="n">
        <f aca="false">SUM(W28:W32)</f>
        <v>6</v>
      </c>
      <c r="X33" s="44" t="n">
        <f aca="false">SUM(X28:X32)</f>
        <v>7</v>
      </c>
      <c r="Y33" s="44" t="n">
        <f aca="false">SUM(Y28:Y32)</f>
        <v>7</v>
      </c>
      <c r="Z33" s="44" t="n">
        <f aca="false">SUM(Z28:Z32)</f>
        <v>8</v>
      </c>
      <c r="AA33" s="44" t="n">
        <f aca="false">SUM(AA28:AA32)</f>
        <v>8</v>
      </c>
      <c r="AB33" s="44" t="n">
        <f aca="false">SUM(AB28:AB32)</f>
        <v>8</v>
      </c>
      <c r="AC33" s="44" t="n">
        <f aca="false">SUM(AC28:AC32)</f>
        <v>8</v>
      </c>
      <c r="AD33" s="44" t="n">
        <f aca="false">SUM(AD28:AD32)</f>
        <v>8</v>
      </c>
      <c r="AE33" s="44" t="n">
        <f aca="false">SUM(AE28:AE32)</f>
        <v>8</v>
      </c>
      <c r="AF33" s="44" t="n">
        <f aca="false">SUM(AF28:AF32)</f>
        <v>8</v>
      </c>
      <c r="AG33" s="44" t="n">
        <f aca="false">SUM(AG28:AG32)</f>
        <v>9</v>
      </c>
      <c r="AH33" s="44" t="n">
        <f aca="false">SUM(AH28:AH32)</f>
        <v>9</v>
      </c>
      <c r="AI33" s="44" t="n">
        <f aca="false">SUM(AI28:AI32)</f>
        <v>8</v>
      </c>
      <c r="AJ33" s="44" t="n">
        <f aca="false">SUM(AJ28:AJ32)</f>
        <v>9</v>
      </c>
      <c r="AK33" s="44" t="n">
        <f aca="false">SUM(AK28:AK32)</f>
        <v>9</v>
      </c>
      <c r="AL33" s="44" t="n">
        <f aca="false">SUM(AL28:AL32)</f>
        <v>9</v>
      </c>
      <c r="AM33" s="44" t="n">
        <f aca="false">SUM(AM28:AM32)</f>
        <v>9</v>
      </c>
      <c r="AO33" s="44" t="n">
        <f aca="false">INDEX($D33:$AM33,(AO$4-annee_debut)*12+12)</f>
        <v>5</v>
      </c>
      <c r="AP33" s="44" t="n">
        <f aca="false">INDEX($D33:$AM33,(AP$4-annee_debut)*12+12)</f>
        <v>8</v>
      </c>
      <c r="AQ33" s="44" t="n">
        <f aca="false">INDEX($D33:$AM33,(AQ$4-annee_debut)*12+12)</f>
        <v>9</v>
      </c>
    </row>
    <row r="34" customFormat="false" ht="15" hidden="false" customHeight="false" outlineLevel="0" collapsed="false">
      <c r="A34" s="5" t="s">
        <v>403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</row>
    <row r="35" customFormat="false" ht="15" hidden="false" customHeight="false" outlineLevel="0" collapsed="false">
      <c r="A35" s="10" t="s">
        <v>404</v>
      </c>
      <c r="B35" s="13" t="s">
        <v>183</v>
      </c>
      <c r="C35" s="50" t="n">
        <v>0</v>
      </c>
      <c r="D35" s="45" t="n">
        <f aca="false">IF(D$6&gt;mois_decision,regle_decision*IF(OR(INDEX($D$10:$AM$10,mois_decision)&lt;seuil_decision_pdv,prix_rotation_p&lt;seuil_prix,cout_lavage_p+cout_logistique_p+taux_perte_p*cout_contenant&gt;seuil_cout_variable),1,0),0)</f>
        <v>0</v>
      </c>
      <c r="E35" s="45" t="n">
        <f aca="false">IF(E$6&gt;mois_decision,regle_decision*IF(OR(INDEX($D$10:$AM$10,mois_decision)&lt;seuil_decision_pdv,prix_rotation_p&lt;seuil_prix,cout_lavage_p+cout_logistique_p+taux_perte_p*cout_contenant&gt;seuil_cout_variable),1,0),0)</f>
        <v>0</v>
      </c>
      <c r="F35" s="45" t="n">
        <f aca="false">IF(F$6&gt;mois_decision,regle_decision*IF(OR(INDEX($D$10:$AM$10,mois_decision)&lt;seuil_decision_pdv,prix_rotation_p&lt;seuil_prix,cout_lavage_p+cout_logistique_p+taux_perte_p*cout_contenant&gt;seuil_cout_variable),1,0),0)</f>
        <v>0</v>
      </c>
      <c r="G35" s="45" t="n">
        <f aca="false">IF(G$6&gt;mois_decision,regle_decision*IF(OR(INDEX($D$10:$AM$10,mois_decision)&lt;seuil_decision_pdv,prix_rotation_p&lt;seuil_prix,cout_lavage_p+cout_logistique_p+taux_perte_p*cout_contenant&gt;seuil_cout_variable),1,0),0)</f>
        <v>0</v>
      </c>
      <c r="H35" s="45" t="n">
        <f aca="false">IF(H$6&gt;mois_decision,regle_decision*IF(OR(INDEX($D$10:$AM$10,mois_decision)&lt;seuil_decision_pdv,prix_rotation_p&lt;seuil_prix,cout_lavage_p+cout_logistique_p+taux_perte_p*cout_contenant&gt;seuil_cout_variable),1,0),0)</f>
        <v>0</v>
      </c>
      <c r="I35" s="45" t="n">
        <f aca="false">IF(I$6&gt;mois_decision,regle_decision*IF(OR(INDEX($D$10:$AM$10,mois_decision)&lt;seuil_decision_pdv,prix_rotation_p&lt;seuil_prix,cout_lavage_p+cout_logistique_p+taux_perte_p*cout_contenant&gt;seuil_cout_variable),1,0),0)</f>
        <v>0</v>
      </c>
      <c r="J35" s="45" t="n">
        <f aca="false">IF(J$6&gt;mois_decision,regle_decision*IF(OR(INDEX($D$10:$AM$10,mois_decision)&lt;seuil_decision_pdv,prix_rotation_p&lt;seuil_prix,cout_lavage_p+cout_logistique_p+taux_perte_p*cout_contenant&gt;seuil_cout_variable),1,0),0)</f>
        <v>0</v>
      </c>
      <c r="K35" s="45" t="n">
        <f aca="false">IF(K$6&gt;mois_decision,regle_decision*IF(OR(INDEX($D$10:$AM$10,mois_decision)&lt;seuil_decision_pdv,prix_rotation_p&lt;seuil_prix,cout_lavage_p+cout_logistique_p+taux_perte_p*cout_contenant&gt;seuil_cout_variable),1,0),0)</f>
        <v>0</v>
      </c>
      <c r="L35" s="45" t="n">
        <f aca="false">IF(L$6&gt;mois_decision,regle_decision*IF(OR(INDEX($D$10:$AM$10,mois_decision)&lt;seuil_decision_pdv,prix_rotation_p&lt;seuil_prix,cout_lavage_p+cout_logistique_p+taux_perte_p*cout_contenant&gt;seuil_cout_variable),1,0),0)</f>
        <v>0</v>
      </c>
      <c r="M35" s="45" t="n">
        <f aca="false">IF(M$6&gt;mois_decision,regle_decision*IF(OR(INDEX($D$10:$AM$10,mois_decision)&lt;seuil_decision_pdv,prix_rotation_p&lt;seuil_prix,cout_lavage_p+cout_logistique_p+taux_perte_p*cout_contenant&gt;seuil_cout_variable),1,0),0)</f>
        <v>0</v>
      </c>
      <c r="N35" s="45" t="n">
        <f aca="false">IF(N$6&gt;mois_decision,regle_decision*IF(OR(INDEX($D$10:$AM$10,mois_decision)&lt;seuil_decision_pdv,prix_rotation_p&lt;seuil_prix,cout_lavage_p+cout_logistique_p+taux_perte_p*cout_contenant&gt;seuil_cout_variable),1,0),0)</f>
        <v>0</v>
      </c>
      <c r="O35" s="45" t="n">
        <f aca="false">IF(O$6&gt;mois_decision,regle_decision*IF(OR(INDEX($D$10:$AM$10,mois_decision)&lt;seuil_decision_pdv,prix_rotation_p&lt;seuil_prix,cout_lavage_p+cout_logistique_p+taux_perte_p*cout_contenant&gt;seuil_cout_variable),1,0),0)</f>
        <v>0</v>
      </c>
      <c r="P35" s="45" t="n">
        <f aca="false">IF(P$6&gt;mois_decision,regle_decision*IF(OR(INDEX($D$10:$AM$10,mois_decision)&lt;seuil_decision_pdv,prix_rotation_p&lt;seuil_prix,cout_lavage_p+cout_logistique_p+taux_perte_p*cout_contenant&gt;seuil_cout_variable),1,0),0)</f>
        <v>0</v>
      </c>
      <c r="Q35" s="45" t="n">
        <f aca="false">IF(Q$6&gt;mois_decision,regle_decision*IF(OR(INDEX($D$10:$AM$10,mois_decision)&lt;seuil_decision_pdv,prix_rotation_p&lt;seuil_prix,cout_lavage_p+cout_logistique_p+taux_perte_p*cout_contenant&gt;seuil_cout_variable),1,0),0)</f>
        <v>0</v>
      </c>
      <c r="R35" s="45" t="n">
        <f aca="false">IF(R$6&gt;mois_decision,regle_decision*IF(OR(INDEX($D$10:$AM$10,mois_decision)&lt;seuil_decision_pdv,prix_rotation_p&lt;seuil_prix,cout_lavage_p+cout_logistique_p+taux_perte_p*cout_contenant&gt;seuil_cout_variable),1,0),0)</f>
        <v>0</v>
      </c>
      <c r="S35" s="45" t="n">
        <f aca="false">IF(S$6&gt;mois_decision,regle_decision*IF(OR(INDEX($D$10:$AM$10,mois_decision)&lt;seuil_decision_pdv,prix_rotation_p&lt;seuil_prix,cout_lavage_p+cout_logistique_p+taux_perte_p*cout_contenant&gt;seuil_cout_variable),1,0),0)</f>
        <v>0</v>
      </c>
      <c r="T35" s="45" t="n">
        <f aca="false">IF(T$6&gt;mois_decision,regle_decision*IF(OR(INDEX($D$10:$AM$10,mois_decision)&lt;seuil_decision_pdv,prix_rotation_p&lt;seuil_prix,cout_lavage_p+cout_logistique_p+taux_perte_p*cout_contenant&gt;seuil_cout_variable),1,0),0)</f>
        <v>0</v>
      </c>
      <c r="U35" s="45" t="n">
        <f aca="false">IF(U$6&gt;mois_decision,regle_decision*IF(OR(INDEX($D$10:$AM$10,mois_decision)&lt;seuil_decision_pdv,prix_rotation_p&lt;seuil_prix,cout_lavage_p+cout_logistique_p+taux_perte_p*cout_contenant&gt;seuil_cout_variable),1,0),0)</f>
        <v>0</v>
      </c>
      <c r="V35" s="45" t="n">
        <f aca="false">IF(V$6&gt;mois_decision,regle_decision*IF(OR(INDEX($D$10:$AM$10,mois_decision)&lt;seuil_decision_pdv,prix_rotation_p&lt;seuil_prix,cout_lavage_p+cout_logistique_p+taux_perte_p*cout_contenant&gt;seuil_cout_variable),1,0),0)</f>
        <v>0</v>
      </c>
      <c r="W35" s="45" t="n">
        <f aca="false">IF(W$6&gt;mois_decision,regle_decision*IF(OR(INDEX($D$10:$AM$10,mois_decision)&lt;seuil_decision_pdv,prix_rotation_p&lt;seuil_prix,cout_lavage_p+cout_logistique_p+taux_perte_p*cout_contenant&gt;seuil_cout_variable),1,0),0)</f>
        <v>0</v>
      </c>
      <c r="X35" s="45" t="n">
        <f aca="false">IF(X$6&gt;mois_decision,regle_decision*IF(OR(INDEX($D$10:$AM$10,mois_decision)&lt;seuil_decision_pdv,prix_rotation_p&lt;seuil_prix,cout_lavage_p+cout_logistique_p+taux_perte_p*cout_contenant&gt;seuil_cout_variable),1,0),0)</f>
        <v>0</v>
      </c>
      <c r="Y35" s="45" t="n">
        <f aca="false">IF(Y$6&gt;mois_decision,regle_decision*IF(OR(INDEX($D$10:$AM$10,mois_decision)&lt;seuil_decision_pdv,prix_rotation_p&lt;seuil_prix,cout_lavage_p+cout_logistique_p+taux_perte_p*cout_contenant&gt;seuil_cout_variable),1,0),0)</f>
        <v>0</v>
      </c>
      <c r="Z35" s="45" t="n">
        <f aca="false">IF(Z$6&gt;mois_decision,regle_decision*IF(OR(INDEX($D$10:$AM$10,mois_decision)&lt;seuil_decision_pdv,prix_rotation_p&lt;seuil_prix,cout_lavage_p+cout_logistique_p+taux_perte_p*cout_contenant&gt;seuil_cout_variable),1,0),0)</f>
        <v>0</v>
      </c>
      <c r="AA35" s="45" t="n">
        <f aca="false">IF(AA$6&gt;mois_decision,regle_decision*IF(OR(INDEX($D$10:$AM$10,mois_decision)&lt;seuil_decision_pdv,prix_rotation_p&lt;seuil_prix,cout_lavage_p+cout_logistique_p+taux_perte_p*cout_contenant&gt;seuil_cout_variable),1,0),0)</f>
        <v>0</v>
      </c>
      <c r="AB35" s="45" t="n">
        <f aca="false">IF(AB$6&gt;mois_decision,regle_decision*IF(OR(INDEX($D$10:$AM$10,mois_decision)&lt;seuil_decision_pdv,prix_rotation_p&lt;seuil_prix,cout_lavage_p+cout_logistique_p+taux_perte_p*cout_contenant&gt;seuil_cout_variable),1,0),0)</f>
        <v>0</v>
      </c>
      <c r="AC35" s="45" t="n">
        <f aca="false">IF(AC$6&gt;mois_decision,regle_decision*IF(OR(INDEX($D$10:$AM$10,mois_decision)&lt;seuil_decision_pdv,prix_rotation_p&lt;seuil_prix,cout_lavage_p+cout_logistique_p+taux_perte_p*cout_contenant&gt;seuil_cout_variable),1,0),0)</f>
        <v>0</v>
      </c>
      <c r="AD35" s="45" t="n">
        <f aca="false">IF(AD$6&gt;mois_decision,regle_decision*IF(OR(INDEX($D$10:$AM$10,mois_decision)&lt;seuil_decision_pdv,prix_rotation_p&lt;seuil_prix,cout_lavage_p+cout_logistique_p+taux_perte_p*cout_contenant&gt;seuil_cout_variable),1,0),0)</f>
        <v>0</v>
      </c>
      <c r="AE35" s="45" t="n">
        <f aca="false">IF(AE$6&gt;mois_decision,regle_decision*IF(OR(INDEX($D$10:$AM$10,mois_decision)&lt;seuil_decision_pdv,prix_rotation_p&lt;seuil_prix,cout_lavage_p+cout_logistique_p+taux_perte_p*cout_contenant&gt;seuil_cout_variable),1,0),0)</f>
        <v>0</v>
      </c>
      <c r="AF35" s="45" t="n">
        <f aca="false">IF(AF$6&gt;mois_decision,regle_decision*IF(OR(INDEX($D$10:$AM$10,mois_decision)&lt;seuil_decision_pdv,prix_rotation_p&lt;seuil_prix,cout_lavage_p+cout_logistique_p+taux_perte_p*cout_contenant&gt;seuil_cout_variable),1,0),0)</f>
        <v>0</v>
      </c>
      <c r="AG35" s="45" t="n">
        <f aca="false">IF(AG$6&gt;mois_decision,regle_decision*IF(OR(INDEX($D$10:$AM$10,mois_decision)&lt;seuil_decision_pdv,prix_rotation_p&lt;seuil_prix,cout_lavage_p+cout_logistique_p+taux_perte_p*cout_contenant&gt;seuil_cout_variable),1,0),0)</f>
        <v>0</v>
      </c>
      <c r="AH35" s="45" t="n">
        <f aca="false">IF(AH$6&gt;mois_decision,regle_decision*IF(OR(INDEX($D$10:$AM$10,mois_decision)&lt;seuil_decision_pdv,prix_rotation_p&lt;seuil_prix,cout_lavage_p+cout_logistique_p+taux_perte_p*cout_contenant&gt;seuil_cout_variable),1,0),0)</f>
        <v>0</v>
      </c>
      <c r="AI35" s="45" t="n">
        <f aca="false">IF(AI$6&gt;mois_decision,regle_decision*IF(OR(INDEX($D$10:$AM$10,mois_decision)&lt;seuil_decision_pdv,prix_rotation_p&lt;seuil_prix,cout_lavage_p+cout_logistique_p+taux_perte_p*cout_contenant&gt;seuil_cout_variable),1,0),0)</f>
        <v>0</v>
      </c>
      <c r="AJ35" s="45" t="n">
        <f aca="false">IF(AJ$6&gt;mois_decision,regle_decision*IF(OR(INDEX($D$10:$AM$10,mois_decision)&lt;seuil_decision_pdv,prix_rotation_p&lt;seuil_prix,cout_lavage_p+cout_logistique_p+taux_perte_p*cout_contenant&gt;seuil_cout_variable),1,0),0)</f>
        <v>0</v>
      </c>
      <c r="AK35" s="45" t="n">
        <f aca="false">IF(AK$6&gt;mois_decision,regle_decision*IF(OR(INDEX($D$10:$AM$10,mois_decision)&lt;seuil_decision_pdv,prix_rotation_p&lt;seuil_prix,cout_lavage_p+cout_logistique_p+taux_perte_p*cout_contenant&gt;seuil_cout_variable),1,0),0)</f>
        <v>0</v>
      </c>
      <c r="AL35" s="45" t="n">
        <f aca="false">IF(AL$6&gt;mois_decision,regle_decision*IF(OR(INDEX($D$10:$AM$10,mois_decision)&lt;seuil_decision_pdv,prix_rotation_p&lt;seuil_prix,cout_lavage_p+cout_logistique_p+taux_perte_p*cout_contenant&gt;seuil_cout_variable),1,0),0)</f>
        <v>0</v>
      </c>
      <c r="AM35" s="45" t="n">
        <f aca="false">IF(AM$6&gt;mois_decision,regle_decision*IF(OR(INDEX($D$10:$AM$10,mois_decision)&lt;seuil_decision_pdv,prix_rotation_p&lt;seuil_prix,cout_lavage_p+cout_logistique_p+taux_perte_p*cout_contenant&gt;seuil_cout_variable),1,0),0)</f>
        <v>0</v>
      </c>
      <c r="AO35" s="45" t="n">
        <f aca="false">INDEX($D35:$AM35,(AO$4-annee_debut)*12+12)</f>
        <v>0</v>
      </c>
      <c r="AP35" s="45" t="n">
        <f aca="false">INDEX($D35:$AM35,(AP$4-annee_debut)*12+12)</f>
        <v>0</v>
      </c>
      <c r="AQ35" s="45" t="n">
        <f aca="false">INDEX($D35:$AM35,(AQ$4-annee_debut)*12+12)</f>
        <v>0</v>
      </c>
    </row>
    <row r="36" customFormat="false" ht="15" hidden="false" customHeight="false" outlineLevel="0" collapsed="false">
      <c r="A36" s="5" t="s">
        <v>267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</row>
    <row r="37" customFormat="false" ht="15" hidden="false" customHeight="false" outlineLevel="0" collapsed="false">
      <c r="A37" s="10" t="s">
        <v>405</v>
      </c>
      <c r="B37" s="13" t="s">
        <v>161</v>
      </c>
      <c r="C37" s="50" t="n">
        <v>0</v>
      </c>
      <c r="D37" s="45" t="n">
        <f aca="false">D32*IF(D35=1,rem_fondateur_a1,CHOOSE(D$4-annee_debut+1,rem_fondateur_a1,rem_fondateur_a2,rem_fondateur_a3))/12</f>
        <v>5000</v>
      </c>
      <c r="E37" s="45" t="n">
        <f aca="false">E32*IF(E35=1,rem_fondateur_a1,CHOOSE(E$4-annee_debut+1,rem_fondateur_a1,rem_fondateur_a2,rem_fondateur_a3))/12</f>
        <v>5000</v>
      </c>
      <c r="F37" s="45" t="n">
        <f aca="false">F32*IF(F35=1,rem_fondateur_a1,CHOOSE(F$4-annee_debut+1,rem_fondateur_a1,rem_fondateur_a2,rem_fondateur_a3))/12</f>
        <v>5000</v>
      </c>
      <c r="G37" s="45" t="n">
        <f aca="false">G32*IF(G35=1,rem_fondateur_a1,CHOOSE(G$4-annee_debut+1,rem_fondateur_a1,rem_fondateur_a2,rem_fondateur_a3))/12</f>
        <v>5000</v>
      </c>
      <c r="H37" s="45" t="n">
        <f aca="false">H32*IF(H35=1,rem_fondateur_a1,CHOOSE(H$4-annee_debut+1,rem_fondateur_a1,rem_fondateur_a2,rem_fondateur_a3))/12</f>
        <v>5000</v>
      </c>
      <c r="I37" s="45" t="n">
        <f aca="false">I32*IF(I35=1,rem_fondateur_a1,CHOOSE(I$4-annee_debut+1,rem_fondateur_a1,rem_fondateur_a2,rem_fondateur_a3))/12</f>
        <v>5000</v>
      </c>
      <c r="J37" s="45" t="n">
        <f aca="false">J32*IF(J35=1,rem_fondateur_a1,CHOOSE(J$4-annee_debut+1,rem_fondateur_a1,rem_fondateur_a2,rem_fondateur_a3))/12</f>
        <v>5000</v>
      </c>
      <c r="K37" s="45" t="n">
        <f aca="false">K32*IF(K35=1,rem_fondateur_a1,CHOOSE(K$4-annee_debut+1,rem_fondateur_a1,rem_fondateur_a2,rem_fondateur_a3))/12</f>
        <v>5000</v>
      </c>
      <c r="L37" s="45" t="n">
        <f aca="false">L32*IF(L35=1,rem_fondateur_a1,CHOOSE(L$4-annee_debut+1,rem_fondateur_a1,rem_fondateur_a2,rem_fondateur_a3))/12</f>
        <v>5000</v>
      </c>
      <c r="M37" s="45" t="n">
        <f aca="false">M32*IF(M35=1,rem_fondateur_a1,CHOOSE(M$4-annee_debut+1,rem_fondateur_a1,rem_fondateur_a2,rem_fondateur_a3))/12</f>
        <v>5000</v>
      </c>
      <c r="N37" s="45" t="n">
        <f aca="false">N32*IF(N35=1,rem_fondateur_a1,CHOOSE(N$4-annee_debut+1,rem_fondateur_a1,rem_fondateur_a2,rem_fondateur_a3))/12</f>
        <v>5000</v>
      </c>
      <c r="O37" s="45" t="n">
        <f aca="false">O32*IF(O35=1,rem_fondateur_a1,CHOOSE(O$4-annee_debut+1,rem_fondateur_a1,rem_fondateur_a2,rem_fondateur_a3))/12</f>
        <v>5000</v>
      </c>
      <c r="P37" s="45" t="n">
        <f aca="false">P32*IF(P35=1,rem_fondateur_a1,CHOOSE(P$4-annee_debut+1,rem_fondateur_a1,rem_fondateur_a2,rem_fondateur_a3))/12</f>
        <v>7000</v>
      </c>
      <c r="Q37" s="45" t="n">
        <f aca="false">Q32*IF(Q35=1,rem_fondateur_a1,CHOOSE(Q$4-annee_debut+1,rem_fondateur_a1,rem_fondateur_a2,rem_fondateur_a3))/12</f>
        <v>7000</v>
      </c>
      <c r="R37" s="45" t="n">
        <f aca="false">R32*IF(R35=1,rem_fondateur_a1,CHOOSE(R$4-annee_debut+1,rem_fondateur_a1,rem_fondateur_a2,rem_fondateur_a3))/12</f>
        <v>7000</v>
      </c>
      <c r="S37" s="45" t="n">
        <f aca="false">S32*IF(S35=1,rem_fondateur_a1,CHOOSE(S$4-annee_debut+1,rem_fondateur_a1,rem_fondateur_a2,rem_fondateur_a3))/12</f>
        <v>7000</v>
      </c>
      <c r="T37" s="45" t="n">
        <f aca="false">T32*IF(T35=1,rem_fondateur_a1,CHOOSE(T$4-annee_debut+1,rem_fondateur_a1,rem_fondateur_a2,rem_fondateur_a3))/12</f>
        <v>7000</v>
      </c>
      <c r="U37" s="45" t="n">
        <f aca="false">U32*IF(U35=1,rem_fondateur_a1,CHOOSE(U$4-annee_debut+1,rem_fondateur_a1,rem_fondateur_a2,rem_fondateur_a3))/12</f>
        <v>7000</v>
      </c>
      <c r="V37" s="45" t="n">
        <f aca="false">V32*IF(V35=1,rem_fondateur_a1,CHOOSE(V$4-annee_debut+1,rem_fondateur_a1,rem_fondateur_a2,rem_fondateur_a3))/12</f>
        <v>7000</v>
      </c>
      <c r="W37" s="45" t="n">
        <f aca="false">W32*IF(W35=1,rem_fondateur_a1,CHOOSE(W$4-annee_debut+1,rem_fondateur_a1,rem_fondateur_a2,rem_fondateur_a3))/12</f>
        <v>7000</v>
      </c>
      <c r="X37" s="45" t="n">
        <f aca="false">X32*IF(X35=1,rem_fondateur_a1,CHOOSE(X$4-annee_debut+1,rem_fondateur_a1,rem_fondateur_a2,rem_fondateur_a3))/12</f>
        <v>7000</v>
      </c>
      <c r="Y37" s="45" t="n">
        <f aca="false">Y32*IF(Y35=1,rem_fondateur_a1,CHOOSE(Y$4-annee_debut+1,rem_fondateur_a1,rem_fondateur_a2,rem_fondateur_a3))/12</f>
        <v>7000</v>
      </c>
      <c r="Z37" s="45" t="n">
        <f aca="false">Z32*IF(Z35=1,rem_fondateur_a1,CHOOSE(Z$4-annee_debut+1,rem_fondateur_a1,rem_fondateur_a2,rem_fondateur_a3))/12</f>
        <v>7000</v>
      </c>
      <c r="AA37" s="45" t="n">
        <f aca="false">AA32*IF(AA35=1,rem_fondateur_a1,CHOOSE(AA$4-annee_debut+1,rem_fondateur_a1,rem_fondateur_a2,rem_fondateur_a3))/12</f>
        <v>7000</v>
      </c>
      <c r="AB37" s="45" t="n">
        <f aca="false">AB32*IF(AB35=1,rem_fondateur_a1,CHOOSE(AB$4-annee_debut+1,rem_fondateur_a1,rem_fondateur_a2,rem_fondateur_a3))/12</f>
        <v>9000</v>
      </c>
      <c r="AC37" s="45" t="n">
        <f aca="false">AC32*IF(AC35=1,rem_fondateur_a1,CHOOSE(AC$4-annee_debut+1,rem_fondateur_a1,rem_fondateur_a2,rem_fondateur_a3))/12</f>
        <v>9000</v>
      </c>
      <c r="AD37" s="45" t="n">
        <f aca="false">AD32*IF(AD35=1,rem_fondateur_a1,CHOOSE(AD$4-annee_debut+1,rem_fondateur_a1,rem_fondateur_a2,rem_fondateur_a3))/12</f>
        <v>9000</v>
      </c>
      <c r="AE37" s="45" t="n">
        <f aca="false">AE32*IF(AE35=1,rem_fondateur_a1,CHOOSE(AE$4-annee_debut+1,rem_fondateur_a1,rem_fondateur_a2,rem_fondateur_a3))/12</f>
        <v>9000</v>
      </c>
      <c r="AF37" s="45" t="n">
        <f aca="false">AF32*IF(AF35=1,rem_fondateur_a1,CHOOSE(AF$4-annee_debut+1,rem_fondateur_a1,rem_fondateur_a2,rem_fondateur_a3))/12</f>
        <v>9000</v>
      </c>
      <c r="AG37" s="45" t="n">
        <f aca="false">AG32*IF(AG35=1,rem_fondateur_a1,CHOOSE(AG$4-annee_debut+1,rem_fondateur_a1,rem_fondateur_a2,rem_fondateur_a3))/12</f>
        <v>9000</v>
      </c>
      <c r="AH37" s="45" t="n">
        <f aca="false">AH32*IF(AH35=1,rem_fondateur_a1,CHOOSE(AH$4-annee_debut+1,rem_fondateur_a1,rem_fondateur_a2,rem_fondateur_a3))/12</f>
        <v>9000</v>
      </c>
      <c r="AI37" s="45" t="n">
        <f aca="false">AI32*IF(AI35=1,rem_fondateur_a1,CHOOSE(AI$4-annee_debut+1,rem_fondateur_a1,rem_fondateur_a2,rem_fondateur_a3))/12</f>
        <v>9000</v>
      </c>
      <c r="AJ37" s="45" t="n">
        <f aca="false">AJ32*IF(AJ35=1,rem_fondateur_a1,CHOOSE(AJ$4-annee_debut+1,rem_fondateur_a1,rem_fondateur_a2,rem_fondateur_a3))/12</f>
        <v>9000</v>
      </c>
      <c r="AK37" s="45" t="n">
        <f aca="false">AK32*IF(AK35=1,rem_fondateur_a1,CHOOSE(AK$4-annee_debut+1,rem_fondateur_a1,rem_fondateur_a2,rem_fondateur_a3))/12</f>
        <v>9000</v>
      </c>
      <c r="AL37" s="45" t="n">
        <f aca="false">AL32*IF(AL35=1,rem_fondateur_a1,CHOOSE(AL$4-annee_debut+1,rem_fondateur_a1,rem_fondateur_a2,rem_fondateur_a3))/12</f>
        <v>9000</v>
      </c>
      <c r="AM37" s="45" t="n">
        <f aca="false">AM32*IF(AM35=1,rem_fondateur_a1,CHOOSE(AM$4-annee_debut+1,rem_fondateur_a1,rem_fondateur_a2,rem_fondateur_a3))/12</f>
        <v>9000</v>
      </c>
      <c r="AO37" s="45" t="n">
        <f aca="false">SUMIF($D$4:$AM$4,AO$4,$D37:$AM37)</f>
        <v>60000</v>
      </c>
      <c r="AP37" s="45" t="n">
        <f aca="false">SUMIF($D$4:$AM$4,AP$4,$D37:$AM37)</f>
        <v>84000</v>
      </c>
      <c r="AQ37" s="45" t="n">
        <f aca="false">SUMIF($D$4:$AM$4,AQ$4,$D37:$AM37)</f>
        <v>108000</v>
      </c>
    </row>
    <row r="38" customFormat="false" ht="15" hidden="false" customHeight="false" outlineLevel="0" collapsed="false">
      <c r="A38" s="10" t="s">
        <v>406</v>
      </c>
      <c r="B38" s="13" t="s">
        <v>161</v>
      </c>
      <c r="C38" s="50" t="n">
        <v>0</v>
      </c>
      <c r="D38" s="45" t="n">
        <f aca="false">(D28*sal_operateur+D29*sal_chauffeur+D30*sal_commercial+D31*sal_responsable)/12*D15</f>
        <v>5833.33333333333</v>
      </c>
      <c r="E38" s="45" t="n">
        <f aca="false">(E28*sal_operateur+E29*sal_chauffeur+E30*sal_commercial+E31*sal_responsable)/12*E15</f>
        <v>5833.33333333333</v>
      </c>
      <c r="F38" s="45" t="n">
        <f aca="false">(F28*sal_operateur+F29*sal_chauffeur+F30*sal_commercial+F31*sal_responsable)/12*F15</f>
        <v>5833.33333333333</v>
      </c>
      <c r="G38" s="45" t="n">
        <f aca="false">(G28*sal_operateur+G29*sal_chauffeur+G30*sal_commercial+G31*sal_responsable)/12*G15</f>
        <v>10666.6666666667</v>
      </c>
      <c r="H38" s="45" t="n">
        <f aca="false">(H28*sal_operateur+H29*sal_chauffeur+H30*sal_commercial+H31*sal_responsable)/12*H15</f>
        <v>10666.6666666667</v>
      </c>
      <c r="I38" s="45" t="n">
        <f aca="false">(I28*sal_operateur+I29*sal_chauffeur+I30*sal_commercial+I31*sal_responsable)/12*I15</f>
        <v>10666.6666666667</v>
      </c>
      <c r="J38" s="45" t="n">
        <f aca="false">(J28*sal_operateur+J29*sal_chauffeur+J30*sal_commercial+J31*sal_responsable)/12*J15</f>
        <v>10666.6666666667</v>
      </c>
      <c r="K38" s="45" t="n">
        <f aca="false">(K28*sal_operateur+K29*sal_chauffeur+K30*sal_commercial+K31*sal_responsable)/12*K15</f>
        <v>10666.6666666667</v>
      </c>
      <c r="L38" s="45" t="n">
        <f aca="false">(L28*sal_operateur+L29*sal_chauffeur+L30*sal_commercial+L31*sal_responsable)/12*L15</f>
        <v>10666.6666666667</v>
      </c>
      <c r="M38" s="45" t="n">
        <f aca="false">(M28*sal_operateur+M29*sal_chauffeur+M30*sal_commercial+M31*sal_responsable)/12*M15</f>
        <v>10666.6666666667</v>
      </c>
      <c r="N38" s="45" t="n">
        <f aca="false">(N28*sal_operateur+N29*sal_chauffeur+N30*sal_commercial+N31*sal_responsable)/12*N15</f>
        <v>10666.6666666667</v>
      </c>
      <c r="O38" s="45" t="n">
        <f aca="false">(O28*sal_operateur+O29*sal_chauffeur+O30*sal_commercial+O31*sal_responsable)/12*O15</f>
        <v>10666.6666666667</v>
      </c>
      <c r="P38" s="45" t="n">
        <f aca="false">(P28*sal_operateur+P29*sal_chauffeur+P30*sal_commercial+P31*sal_responsable)/12*P15</f>
        <v>15300</v>
      </c>
      <c r="Q38" s="45" t="n">
        <f aca="false">(Q28*sal_operateur+Q29*sal_chauffeur+Q30*sal_commercial+Q31*sal_responsable)/12*Q15</f>
        <v>15300</v>
      </c>
      <c r="R38" s="45" t="n">
        <f aca="false">(R28*sal_operateur+R29*sal_chauffeur+R30*sal_commercial+R31*sal_responsable)/12*R15</f>
        <v>15300</v>
      </c>
      <c r="S38" s="45" t="n">
        <f aca="false">(S28*sal_operateur+S29*sal_chauffeur+S30*sal_commercial+S31*sal_responsable)/12*S15</f>
        <v>15300</v>
      </c>
      <c r="T38" s="45" t="n">
        <f aca="false">(T28*sal_operateur+T29*sal_chauffeur+T30*sal_commercial+T31*sal_responsable)/12*T15</f>
        <v>15300</v>
      </c>
      <c r="U38" s="45" t="n">
        <f aca="false">(U28*sal_operateur+U29*sal_chauffeur+U30*sal_commercial+U31*sal_responsable)/12*U15</f>
        <v>18360</v>
      </c>
      <c r="V38" s="45" t="n">
        <f aca="false">(V28*sal_operateur+V29*sal_chauffeur+V30*sal_commercial+V31*sal_responsable)/12*V15</f>
        <v>18360</v>
      </c>
      <c r="W38" s="45" t="n">
        <f aca="false">(W28*sal_operateur+W29*sal_chauffeur+W30*sal_commercial+W31*sal_responsable)/12*W15</f>
        <v>15300</v>
      </c>
      <c r="X38" s="45" t="n">
        <f aca="false">(X28*sal_operateur+X29*sal_chauffeur+X30*sal_commercial+X31*sal_responsable)/12*X15</f>
        <v>18360</v>
      </c>
      <c r="Y38" s="45" t="n">
        <f aca="false">(Y28*sal_operateur+Y29*sal_chauffeur+Y30*sal_commercial+Y31*sal_responsable)/12*Y15</f>
        <v>18360</v>
      </c>
      <c r="Z38" s="45" t="n">
        <f aca="false">(Z28*sal_operateur+Z29*sal_chauffeur+Z30*sal_commercial+Z31*sal_responsable)/12*Z15</f>
        <v>21250</v>
      </c>
      <c r="AA38" s="45" t="n">
        <f aca="false">(AA28*sal_operateur+AA29*sal_chauffeur+AA30*sal_commercial+AA31*sal_responsable)/12*AA15</f>
        <v>21250</v>
      </c>
      <c r="AB38" s="45" t="n">
        <f aca="false">(AB28*sal_operateur+AB29*sal_chauffeur+AB30*sal_commercial+AB31*sal_responsable)/12*AB15</f>
        <v>21675</v>
      </c>
      <c r="AC38" s="45" t="n">
        <f aca="false">(AC28*sal_operateur+AC29*sal_chauffeur+AC30*sal_commercial+AC31*sal_responsable)/12*AC15</f>
        <v>21675</v>
      </c>
      <c r="AD38" s="45" t="n">
        <f aca="false">(AD28*sal_operateur+AD29*sal_chauffeur+AD30*sal_commercial+AD31*sal_responsable)/12*AD15</f>
        <v>21675</v>
      </c>
      <c r="AE38" s="45" t="n">
        <f aca="false">(AE28*sal_operateur+AE29*sal_chauffeur+AE30*sal_commercial+AE31*sal_responsable)/12*AE15</f>
        <v>21675</v>
      </c>
      <c r="AF38" s="45" t="n">
        <f aca="false">(AF28*sal_operateur+AF29*sal_chauffeur+AF30*sal_commercial+AF31*sal_responsable)/12*AF15</f>
        <v>21675</v>
      </c>
      <c r="AG38" s="45" t="n">
        <f aca="false">(AG28*sal_operateur+AG29*sal_chauffeur+AG30*sal_commercial+AG31*sal_responsable)/12*AG15</f>
        <v>24796.2</v>
      </c>
      <c r="AH38" s="45" t="n">
        <f aca="false">(AH28*sal_operateur+AH29*sal_chauffeur+AH30*sal_commercial+AH31*sal_responsable)/12*AH15</f>
        <v>24796.2</v>
      </c>
      <c r="AI38" s="45" t="n">
        <f aca="false">(AI28*sal_operateur+AI29*sal_chauffeur+AI30*sal_commercial+AI31*sal_responsable)/12*AI15</f>
        <v>21675</v>
      </c>
      <c r="AJ38" s="45" t="n">
        <f aca="false">(AJ28*sal_operateur+AJ29*sal_chauffeur+AJ30*sal_commercial+AJ31*sal_responsable)/12*AJ15</f>
        <v>24796.2</v>
      </c>
      <c r="AK38" s="45" t="n">
        <f aca="false">(AK28*sal_operateur+AK29*sal_chauffeur+AK30*sal_commercial+AK31*sal_responsable)/12*AK15</f>
        <v>24796.2</v>
      </c>
      <c r="AL38" s="45" t="n">
        <f aca="false">(AL28*sal_operateur+AL29*sal_chauffeur+AL30*sal_commercial+AL31*sal_responsable)/12*AL15</f>
        <v>24796.2</v>
      </c>
      <c r="AM38" s="45" t="n">
        <f aca="false">(AM28*sal_operateur+AM29*sal_chauffeur+AM30*sal_commercial+AM31*sal_responsable)/12*AM15</f>
        <v>24796.2</v>
      </c>
      <c r="AO38" s="45" t="n">
        <f aca="false">SUMIF($D$4:$AM$4,AO$4,$D38:$AM38)</f>
        <v>113500</v>
      </c>
      <c r="AP38" s="45" t="n">
        <f aca="false">SUMIF($D$4:$AM$4,AP$4,$D38:$AM38)</f>
        <v>207740</v>
      </c>
      <c r="AQ38" s="45" t="n">
        <f aca="false">SUMIF($D$4:$AM$4,AQ$4,$D38:$AM38)</f>
        <v>278827.2</v>
      </c>
    </row>
    <row r="39" customFormat="false" ht="15" hidden="false" customHeight="false" outlineLevel="0" collapsed="false">
      <c r="A39" s="11" t="s">
        <v>407</v>
      </c>
      <c r="B39" s="13" t="s">
        <v>161</v>
      </c>
      <c r="C39" s="50" t="n">
        <v>0</v>
      </c>
      <c r="D39" s="44" t="n">
        <f aca="false">D37+D38</f>
        <v>10833.3333333333</v>
      </c>
      <c r="E39" s="44" t="n">
        <f aca="false">E37+E38</f>
        <v>10833.3333333333</v>
      </c>
      <c r="F39" s="44" t="n">
        <f aca="false">F37+F38</f>
        <v>10833.3333333333</v>
      </c>
      <c r="G39" s="44" t="n">
        <f aca="false">G37+G38</f>
        <v>15666.6666666667</v>
      </c>
      <c r="H39" s="44" t="n">
        <f aca="false">H37+H38</f>
        <v>15666.6666666667</v>
      </c>
      <c r="I39" s="44" t="n">
        <f aca="false">I37+I38</f>
        <v>15666.6666666667</v>
      </c>
      <c r="J39" s="44" t="n">
        <f aca="false">J37+J38</f>
        <v>15666.6666666667</v>
      </c>
      <c r="K39" s="44" t="n">
        <f aca="false">K37+K38</f>
        <v>15666.6666666667</v>
      </c>
      <c r="L39" s="44" t="n">
        <f aca="false">L37+L38</f>
        <v>15666.6666666667</v>
      </c>
      <c r="M39" s="44" t="n">
        <f aca="false">M37+M38</f>
        <v>15666.6666666667</v>
      </c>
      <c r="N39" s="44" t="n">
        <f aca="false">N37+N38</f>
        <v>15666.6666666667</v>
      </c>
      <c r="O39" s="44" t="n">
        <f aca="false">O37+O38</f>
        <v>15666.6666666667</v>
      </c>
      <c r="P39" s="44" t="n">
        <f aca="false">P37+P38</f>
        <v>22300</v>
      </c>
      <c r="Q39" s="44" t="n">
        <f aca="false">Q37+Q38</f>
        <v>22300</v>
      </c>
      <c r="R39" s="44" t="n">
        <f aca="false">R37+R38</f>
        <v>22300</v>
      </c>
      <c r="S39" s="44" t="n">
        <f aca="false">S37+S38</f>
        <v>22300</v>
      </c>
      <c r="T39" s="44" t="n">
        <f aca="false">T37+T38</f>
        <v>22300</v>
      </c>
      <c r="U39" s="44" t="n">
        <f aca="false">U37+U38</f>
        <v>25360</v>
      </c>
      <c r="V39" s="44" t="n">
        <f aca="false">V37+V38</f>
        <v>25360</v>
      </c>
      <c r="W39" s="44" t="n">
        <f aca="false">W37+W38</f>
        <v>22300</v>
      </c>
      <c r="X39" s="44" t="n">
        <f aca="false">X37+X38</f>
        <v>25360</v>
      </c>
      <c r="Y39" s="44" t="n">
        <f aca="false">Y37+Y38</f>
        <v>25360</v>
      </c>
      <c r="Z39" s="44" t="n">
        <f aca="false">Z37+Z38</f>
        <v>28250</v>
      </c>
      <c r="AA39" s="44" t="n">
        <f aca="false">AA37+AA38</f>
        <v>28250</v>
      </c>
      <c r="AB39" s="44" t="n">
        <f aca="false">AB37+AB38</f>
        <v>30675</v>
      </c>
      <c r="AC39" s="44" t="n">
        <f aca="false">AC37+AC38</f>
        <v>30675</v>
      </c>
      <c r="AD39" s="44" t="n">
        <f aca="false">AD37+AD38</f>
        <v>30675</v>
      </c>
      <c r="AE39" s="44" t="n">
        <f aca="false">AE37+AE38</f>
        <v>30675</v>
      </c>
      <c r="AF39" s="44" t="n">
        <f aca="false">AF37+AF38</f>
        <v>30675</v>
      </c>
      <c r="AG39" s="44" t="n">
        <f aca="false">AG37+AG38</f>
        <v>33796.2</v>
      </c>
      <c r="AH39" s="44" t="n">
        <f aca="false">AH37+AH38</f>
        <v>33796.2</v>
      </c>
      <c r="AI39" s="44" t="n">
        <f aca="false">AI37+AI38</f>
        <v>30675</v>
      </c>
      <c r="AJ39" s="44" t="n">
        <f aca="false">AJ37+AJ38</f>
        <v>33796.2</v>
      </c>
      <c r="AK39" s="44" t="n">
        <f aca="false">AK37+AK38</f>
        <v>33796.2</v>
      </c>
      <c r="AL39" s="44" t="n">
        <f aca="false">AL37+AL38</f>
        <v>33796.2</v>
      </c>
      <c r="AM39" s="44" t="n">
        <f aca="false">AM37+AM38</f>
        <v>33796.2</v>
      </c>
      <c r="AO39" s="44" t="n">
        <f aca="false">SUMIF($D$4:$AM$4,AO$4,$D39:$AM39)</f>
        <v>173500</v>
      </c>
      <c r="AP39" s="44" t="n">
        <f aca="false">SUMIF($D$4:$AM$4,AP$4,$D39:$AM39)</f>
        <v>291740</v>
      </c>
      <c r="AQ39" s="44" t="n">
        <f aca="false">SUMIF($D$4:$AM$4,AQ$4,$D39:$AM39)</f>
        <v>386827.2</v>
      </c>
    </row>
    <row r="40" customFormat="false" ht="15" hidden="false" customHeight="false" outlineLevel="0" collapsed="false">
      <c r="A40" s="5" t="s">
        <v>268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</row>
    <row r="41" customFormat="false" ht="15" hidden="false" customHeight="false" outlineLevel="0" collapsed="false">
      <c r="A41" s="10" t="s">
        <v>279</v>
      </c>
      <c r="B41" s="13" t="s">
        <v>59</v>
      </c>
      <c r="C41" s="50" t="n">
        <v>0</v>
      </c>
      <c r="D41" s="45" t="n">
        <f aca="false">MAX(C41,MAX(1,ROUNDUP(D13/(cap_ligne*seuil_ligne),0)))</f>
        <v>1</v>
      </c>
      <c r="E41" s="45" t="n">
        <f aca="false">MAX(D41,MAX(1,ROUNDUP(E13/(cap_ligne*seuil_ligne),0)))</f>
        <v>1</v>
      </c>
      <c r="F41" s="45" t="n">
        <f aca="false">MAX(E41,MAX(1,ROUNDUP(F13/(cap_ligne*seuil_ligne),0)))</f>
        <v>1</v>
      </c>
      <c r="G41" s="45" t="n">
        <f aca="false">MAX(F41,MAX(1,ROUNDUP(G13/(cap_ligne*seuil_ligne),0)))</f>
        <v>1</v>
      </c>
      <c r="H41" s="45" t="n">
        <f aca="false">MAX(G41,MAX(1,ROUNDUP(H13/(cap_ligne*seuil_ligne),0)))</f>
        <v>1</v>
      </c>
      <c r="I41" s="45" t="n">
        <f aca="false">MAX(H41,MAX(1,ROUNDUP(I13/(cap_ligne*seuil_ligne),0)))</f>
        <v>1</v>
      </c>
      <c r="J41" s="45" t="n">
        <f aca="false">MAX(I41,MAX(1,ROUNDUP(J13/(cap_ligne*seuil_ligne),0)))</f>
        <v>1</v>
      </c>
      <c r="K41" s="45" t="n">
        <f aca="false">MAX(J41,MAX(1,ROUNDUP(K13/(cap_ligne*seuil_ligne),0)))</f>
        <v>1</v>
      </c>
      <c r="L41" s="45" t="n">
        <f aca="false">MAX(K41,MAX(1,ROUNDUP(L13/(cap_ligne*seuil_ligne),0)))</f>
        <v>1</v>
      </c>
      <c r="M41" s="45" t="n">
        <f aca="false">MAX(L41,MAX(1,ROUNDUP(M13/(cap_ligne*seuil_ligne),0)))</f>
        <v>1</v>
      </c>
      <c r="N41" s="45" t="n">
        <f aca="false">MAX(M41,MAX(1,ROUNDUP(N13/(cap_ligne*seuil_ligne),0)))</f>
        <v>1</v>
      </c>
      <c r="O41" s="45" t="n">
        <f aca="false">MAX(N41,MAX(1,ROUNDUP(O13/(cap_ligne*seuil_ligne),0)))</f>
        <v>1</v>
      </c>
      <c r="P41" s="45" t="n">
        <f aca="false">MAX(O41,MAX(1,ROUNDUP(P13/(cap_ligne*seuil_ligne),0)))</f>
        <v>1</v>
      </c>
      <c r="Q41" s="45" t="n">
        <f aca="false">MAX(P41,MAX(1,ROUNDUP(Q13/(cap_ligne*seuil_ligne),0)))</f>
        <v>1</v>
      </c>
      <c r="R41" s="45" t="n">
        <f aca="false">MAX(Q41,MAX(1,ROUNDUP(R13/(cap_ligne*seuil_ligne),0)))</f>
        <v>1</v>
      </c>
      <c r="S41" s="45" t="n">
        <f aca="false">MAX(R41,MAX(1,ROUNDUP(S13/(cap_ligne*seuil_ligne),0)))</f>
        <v>1</v>
      </c>
      <c r="T41" s="45" t="n">
        <f aca="false">MAX(S41,MAX(1,ROUNDUP(T13/(cap_ligne*seuil_ligne),0)))</f>
        <v>1</v>
      </c>
      <c r="U41" s="45" t="n">
        <f aca="false">MAX(T41,MAX(1,ROUNDUP(U13/(cap_ligne*seuil_ligne),0)))</f>
        <v>1</v>
      </c>
      <c r="V41" s="45" t="n">
        <f aca="false">MAX(U41,MAX(1,ROUNDUP(V13/(cap_ligne*seuil_ligne),0)))</f>
        <v>1</v>
      </c>
      <c r="W41" s="45" t="n">
        <f aca="false">MAX(V41,MAX(1,ROUNDUP(W13/(cap_ligne*seuil_ligne),0)))</f>
        <v>1</v>
      </c>
      <c r="X41" s="45" t="n">
        <f aca="false">MAX(W41,MAX(1,ROUNDUP(X13/(cap_ligne*seuil_ligne),0)))</f>
        <v>1</v>
      </c>
      <c r="Y41" s="45" t="n">
        <f aca="false">MAX(X41,MAX(1,ROUNDUP(Y13/(cap_ligne*seuil_ligne),0)))</f>
        <v>1</v>
      </c>
      <c r="Z41" s="45" t="n">
        <f aca="false">MAX(Y41,MAX(1,ROUNDUP(Z13/(cap_ligne*seuil_ligne),0)))</f>
        <v>1</v>
      </c>
      <c r="AA41" s="45" t="n">
        <f aca="false">MAX(Z41,MAX(1,ROUNDUP(AA13/(cap_ligne*seuil_ligne),0)))</f>
        <v>1</v>
      </c>
      <c r="AB41" s="45" t="n">
        <f aca="false">MAX(AA41,MAX(1,ROUNDUP(AB13/(cap_ligne*seuil_ligne),0)))</f>
        <v>1</v>
      </c>
      <c r="AC41" s="45" t="n">
        <f aca="false">MAX(AB41,MAX(1,ROUNDUP(AC13/(cap_ligne*seuil_ligne),0)))</f>
        <v>1</v>
      </c>
      <c r="AD41" s="45" t="n">
        <f aca="false">MAX(AC41,MAX(1,ROUNDUP(AD13/(cap_ligne*seuil_ligne),0)))</f>
        <v>1</v>
      </c>
      <c r="AE41" s="45" t="n">
        <f aca="false">MAX(AD41,MAX(1,ROUNDUP(AE13/(cap_ligne*seuil_ligne),0)))</f>
        <v>1</v>
      </c>
      <c r="AF41" s="45" t="n">
        <f aca="false">MAX(AE41,MAX(1,ROUNDUP(AF13/(cap_ligne*seuil_ligne),0)))</f>
        <v>1</v>
      </c>
      <c r="AG41" s="45" t="n">
        <f aca="false">MAX(AF41,MAX(1,ROUNDUP(AG13/(cap_ligne*seuil_ligne),0)))</f>
        <v>1</v>
      </c>
      <c r="AH41" s="45" t="n">
        <f aca="false">MAX(AG41,MAX(1,ROUNDUP(AH13/(cap_ligne*seuil_ligne),0)))</f>
        <v>1</v>
      </c>
      <c r="AI41" s="45" t="n">
        <f aca="false">MAX(AH41,MAX(1,ROUNDUP(AI13/(cap_ligne*seuil_ligne),0)))</f>
        <v>1</v>
      </c>
      <c r="AJ41" s="45" t="n">
        <f aca="false">MAX(AI41,MAX(1,ROUNDUP(AJ13/(cap_ligne*seuil_ligne),0)))</f>
        <v>1</v>
      </c>
      <c r="AK41" s="45" t="n">
        <f aca="false">MAX(AJ41,MAX(1,ROUNDUP(AK13/(cap_ligne*seuil_ligne),0)))</f>
        <v>1</v>
      </c>
      <c r="AL41" s="45" t="n">
        <f aca="false">MAX(AK41,MAX(1,ROUNDUP(AL13/(cap_ligne*seuil_ligne),0)))</f>
        <v>1</v>
      </c>
      <c r="AM41" s="45" t="n">
        <f aca="false">MAX(AL41,MAX(1,ROUNDUP(AM13/(cap_ligne*seuil_ligne),0)))</f>
        <v>1</v>
      </c>
      <c r="AO41" s="45" t="n">
        <f aca="false">INDEX($D41:$AM41,(AO$4-annee_debut)*12+12)</f>
        <v>1</v>
      </c>
      <c r="AP41" s="45" t="n">
        <f aca="false">INDEX($D41:$AM41,(AP$4-annee_debut)*12+12)</f>
        <v>1</v>
      </c>
      <c r="AQ41" s="45" t="n">
        <f aca="false">INDEX($D41:$AM41,(AQ$4-annee_debut)*12+12)</f>
        <v>1</v>
      </c>
    </row>
    <row r="42" customFormat="false" ht="15" hidden="false" customHeight="false" outlineLevel="0" collapsed="false">
      <c r="A42" s="10" t="s">
        <v>143</v>
      </c>
      <c r="B42" s="13" t="s">
        <v>71</v>
      </c>
      <c r="C42" s="50" t="n">
        <v>0</v>
      </c>
      <c r="D42" s="45" t="n">
        <f aca="false">loyer*D15</f>
        <v>4200</v>
      </c>
      <c r="E42" s="45" t="n">
        <f aca="false">loyer*E15</f>
        <v>4200</v>
      </c>
      <c r="F42" s="45" t="n">
        <f aca="false">loyer*F15</f>
        <v>4200</v>
      </c>
      <c r="G42" s="45" t="n">
        <f aca="false">loyer*G15</f>
        <v>4200</v>
      </c>
      <c r="H42" s="45" t="n">
        <f aca="false">loyer*H15</f>
        <v>4200</v>
      </c>
      <c r="I42" s="45" t="n">
        <f aca="false">loyer*I15</f>
        <v>4200</v>
      </c>
      <c r="J42" s="45" t="n">
        <f aca="false">loyer*J15</f>
        <v>4200</v>
      </c>
      <c r="K42" s="45" t="n">
        <f aca="false">loyer*K15</f>
        <v>4200</v>
      </c>
      <c r="L42" s="45" t="n">
        <f aca="false">loyer*L15</f>
        <v>4200</v>
      </c>
      <c r="M42" s="45" t="n">
        <f aca="false">loyer*M15</f>
        <v>4200</v>
      </c>
      <c r="N42" s="45" t="n">
        <f aca="false">loyer*N15</f>
        <v>4200</v>
      </c>
      <c r="O42" s="45" t="n">
        <f aca="false">loyer*O15</f>
        <v>4200</v>
      </c>
      <c r="P42" s="45" t="n">
        <f aca="false">loyer*P15</f>
        <v>4284</v>
      </c>
      <c r="Q42" s="45" t="n">
        <f aca="false">loyer*Q15</f>
        <v>4284</v>
      </c>
      <c r="R42" s="45" t="n">
        <f aca="false">loyer*R15</f>
        <v>4284</v>
      </c>
      <c r="S42" s="45" t="n">
        <f aca="false">loyer*S15</f>
        <v>4284</v>
      </c>
      <c r="T42" s="45" t="n">
        <f aca="false">loyer*T15</f>
        <v>4284</v>
      </c>
      <c r="U42" s="45" t="n">
        <f aca="false">loyer*U15</f>
        <v>4284</v>
      </c>
      <c r="V42" s="45" t="n">
        <f aca="false">loyer*V15</f>
        <v>4284</v>
      </c>
      <c r="W42" s="45" t="n">
        <f aca="false">loyer*W15</f>
        <v>4284</v>
      </c>
      <c r="X42" s="45" t="n">
        <f aca="false">loyer*X15</f>
        <v>4284</v>
      </c>
      <c r="Y42" s="45" t="n">
        <f aca="false">loyer*Y15</f>
        <v>4284</v>
      </c>
      <c r="Z42" s="45" t="n">
        <f aca="false">loyer*Z15</f>
        <v>4284</v>
      </c>
      <c r="AA42" s="45" t="n">
        <f aca="false">loyer*AA15</f>
        <v>4284</v>
      </c>
      <c r="AB42" s="45" t="n">
        <f aca="false">loyer*AB15</f>
        <v>4369.68</v>
      </c>
      <c r="AC42" s="45" t="n">
        <f aca="false">loyer*AC15</f>
        <v>4369.68</v>
      </c>
      <c r="AD42" s="45" t="n">
        <f aca="false">loyer*AD15</f>
        <v>4369.68</v>
      </c>
      <c r="AE42" s="45" t="n">
        <f aca="false">loyer*AE15</f>
        <v>4369.68</v>
      </c>
      <c r="AF42" s="45" t="n">
        <f aca="false">loyer*AF15</f>
        <v>4369.68</v>
      </c>
      <c r="AG42" s="45" t="n">
        <f aca="false">loyer*AG15</f>
        <v>4369.68</v>
      </c>
      <c r="AH42" s="45" t="n">
        <f aca="false">loyer*AH15</f>
        <v>4369.68</v>
      </c>
      <c r="AI42" s="45" t="n">
        <f aca="false">loyer*AI15</f>
        <v>4369.68</v>
      </c>
      <c r="AJ42" s="45" t="n">
        <f aca="false">loyer*AJ15</f>
        <v>4369.68</v>
      </c>
      <c r="AK42" s="45" t="n">
        <f aca="false">loyer*AK15</f>
        <v>4369.68</v>
      </c>
      <c r="AL42" s="45" t="n">
        <f aca="false">loyer*AL15</f>
        <v>4369.68</v>
      </c>
      <c r="AM42" s="45" t="n">
        <f aca="false">loyer*AM15</f>
        <v>4369.68</v>
      </c>
      <c r="AO42" s="45" t="n">
        <f aca="false">SUMIF($D$4:$AM$4,AO$4,$D42:$AM42)</f>
        <v>50400</v>
      </c>
      <c r="AP42" s="45" t="n">
        <f aca="false">SUMIF($D$4:$AM$4,AP$4,$D42:$AM42)</f>
        <v>51408</v>
      </c>
      <c r="AQ42" s="45" t="n">
        <f aca="false">SUMIF($D$4:$AM$4,AQ$4,$D42:$AM42)</f>
        <v>52436.16</v>
      </c>
    </row>
    <row r="43" customFormat="false" ht="15" hidden="false" customHeight="false" outlineLevel="0" collapsed="false">
      <c r="A43" s="10" t="s">
        <v>408</v>
      </c>
      <c r="B43" s="13" t="s">
        <v>71</v>
      </c>
      <c r="C43" s="50" t="n">
        <v>0</v>
      </c>
      <c r="D43" s="45" t="n">
        <f aca="false">D41*energie_ligne*D15</f>
        <v>600</v>
      </c>
      <c r="E43" s="45" t="n">
        <f aca="false">E41*energie_ligne*E15</f>
        <v>600</v>
      </c>
      <c r="F43" s="45" t="n">
        <f aca="false">F41*energie_ligne*F15</f>
        <v>600</v>
      </c>
      <c r="G43" s="45" t="n">
        <f aca="false">G41*energie_ligne*G15</f>
        <v>600</v>
      </c>
      <c r="H43" s="45" t="n">
        <f aca="false">H41*energie_ligne*H15</f>
        <v>600</v>
      </c>
      <c r="I43" s="45" t="n">
        <f aca="false">I41*energie_ligne*I15</f>
        <v>600</v>
      </c>
      <c r="J43" s="45" t="n">
        <f aca="false">J41*energie_ligne*J15</f>
        <v>600</v>
      </c>
      <c r="K43" s="45" t="n">
        <f aca="false">K41*energie_ligne*K15</f>
        <v>600</v>
      </c>
      <c r="L43" s="45" t="n">
        <f aca="false">L41*energie_ligne*L15</f>
        <v>600</v>
      </c>
      <c r="M43" s="45" t="n">
        <f aca="false">M41*energie_ligne*M15</f>
        <v>600</v>
      </c>
      <c r="N43" s="45" t="n">
        <f aca="false">N41*energie_ligne*N15</f>
        <v>600</v>
      </c>
      <c r="O43" s="45" t="n">
        <f aca="false">O41*energie_ligne*O15</f>
        <v>600</v>
      </c>
      <c r="P43" s="45" t="n">
        <f aca="false">P41*energie_ligne*P15</f>
        <v>612</v>
      </c>
      <c r="Q43" s="45" t="n">
        <f aca="false">Q41*energie_ligne*Q15</f>
        <v>612</v>
      </c>
      <c r="R43" s="45" t="n">
        <f aca="false">R41*energie_ligne*R15</f>
        <v>612</v>
      </c>
      <c r="S43" s="45" t="n">
        <f aca="false">S41*energie_ligne*S15</f>
        <v>612</v>
      </c>
      <c r="T43" s="45" t="n">
        <f aca="false">T41*energie_ligne*T15</f>
        <v>612</v>
      </c>
      <c r="U43" s="45" t="n">
        <f aca="false">U41*energie_ligne*U15</f>
        <v>612</v>
      </c>
      <c r="V43" s="45" t="n">
        <f aca="false">V41*energie_ligne*V15</f>
        <v>612</v>
      </c>
      <c r="W43" s="45" t="n">
        <f aca="false">W41*energie_ligne*W15</f>
        <v>612</v>
      </c>
      <c r="X43" s="45" t="n">
        <f aca="false">X41*energie_ligne*X15</f>
        <v>612</v>
      </c>
      <c r="Y43" s="45" t="n">
        <f aca="false">Y41*energie_ligne*Y15</f>
        <v>612</v>
      </c>
      <c r="Z43" s="45" t="n">
        <f aca="false">Z41*energie_ligne*Z15</f>
        <v>612</v>
      </c>
      <c r="AA43" s="45" t="n">
        <f aca="false">AA41*energie_ligne*AA15</f>
        <v>612</v>
      </c>
      <c r="AB43" s="45" t="n">
        <f aca="false">AB41*energie_ligne*AB15</f>
        <v>624.24</v>
      </c>
      <c r="AC43" s="45" t="n">
        <f aca="false">AC41*energie_ligne*AC15</f>
        <v>624.24</v>
      </c>
      <c r="AD43" s="45" t="n">
        <f aca="false">AD41*energie_ligne*AD15</f>
        <v>624.24</v>
      </c>
      <c r="AE43" s="45" t="n">
        <f aca="false">AE41*energie_ligne*AE15</f>
        <v>624.24</v>
      </c>
      <c r="AF43" s="45" t="n">
        <f aca="false">AF41*energie_ligne*AF15</f>
        <v>624.24</v>
      </c>
      <c r="AG43" s="45" t="n">
        <f aca="false">AG41*energie_ligne*AG15</f>
        <v>624.24</v>
      </c>
      <c r="AH43" s="45" t="n">
        <f aca="false">AH41*energie_ligne*AH15</f>
        <v>624.24</v>
      </c>
      <c r="AI43" s="45" t="n">
        <f aca="false">AI41*energie_ligne*AI15</f>
        <v>624.24</v>
      </c>
      <c r="AJ43" s="45" t="n">
        <f aca="false">AJ41*energie_ligne*AJ15</f>
        <v>624.24</v>
      </c>
      <c r="AK43" s="45" t="n">
        <f aca="false">AK41*energie_ligne*AK15</f>
        <v>624.24</v>
      </c>
      <c r="AL43" s="45" t="n">
        <f aca="false">AL41*energie_ligne*AL15</f>
        <v>624.24</v>
      </c>
      <c r="AM43" s="45" t="n">
        <f aca="false">AM41*energie_ligne*AM15</f>
        <v>624.24</v>
      </c>
      <c r="AO43" s="45" t="n">
        <f aca="false">SUMIF($D$4:$AM$4,AO$4,$D43:$AM43)</f>
        <v>7200</v>
      </c>
      <c r="AP43" s="45" t="n">
        <f aca="false">SUMIF($D$4:$AM$4,AP$4,$D43:$AM43)</f>
        <v>7344</v>
      </c>
      <c r="AQ43" s="45" t="n">
        <f aca="false">SUMIF($D$4:$AM$4,AQ$4,$D43:$AM43)</f>
        <v>7490.88</v>
      </c>
    </row>
    <row r="44" customFormat="false" ht="15" hidden="false" customHeight="false" outlineLevel="0" collapsed="false">
      <c r="A44" s="10" t="s">
        <v>409</v>
      </c>
      <c r="B44" s="13" t="s">
        <v>71</v>
      </c>
      <c r="C44" s="50" t="n">
        <v>0</v>
      </c>
      <c r="D44" s="45" t="n">
        <f aca="false">D29*vehicule*D15</f>
        <v>750</v>
      </c>
      <c r="E44" s="45" t="n">
        <f aca="false">E29*vehicule*E15</f>
        <v>750</v>
      </c>
      <c r="F44" s="45" t="n">
        <f aca="false">F29*vehicule*F15</f>
        <v>750</v>
      </c>
      <c r="G44" s="45" t="n">
        <f aca="false">G29*vehicule*G15</f>
        <v>750</v>
      </c>
      <c r="H44" s="45" t="n">
        <f aca="false">H29*vehicule*H15</f>
        <v>750</v>
      </c>
      <c r="I44" s="45" t="n">
        <f aca="false">I29*vehicule*I15</f>
        <v>750</v>
      </c>
      <c r="J44" s="45" t="n">
        <f aca="false">J29*vehicule*J15</f>
        <v>750</v>
      </c>
      <c r="K44" s="45" t="n">
        <f aca="false">K29*vehicule*K15</f>
        <v>750</v>
      </c>
      <c r="L44" s="45" t="n">
        <f aca="false">L29*vehicule*L15</f>
        <v>750</v>
      </c>
      <c r="M44" s="45" t="n">
        <f aca="false">M29*vehicule*M15</f>
        <v>750</v>
      </c>
      <c r="N44" s="45" t="n">
        <f aca="false">N29*vehicule*N15</f>
        <v>750</v>
      </c>
      <c r="O44" s="45" t="n">
        <f aca="false">O29*vehicule*O15</f>
        <v>750</v>
      </c>
      <c r="P44" s="45" t="n">
        <f aca="false">P29*vehicule*P15</f>
        <v>765</v>
      </c>
      <c r="Q44" s="45" t="n">
        <f aca="false">Q29*vehicule*Q15</f>
        <v>765</v>
      </c>
      <c r="R44" s="45" t="n">
        <f aca="false">R29*vehicule*R15</f>
        <v>765</v>
      </c>
      <c r="S44" s="45" t="n">
        <f aca="false">S29*vehicule*S15</f>
        <v>765</v>
      </c>
      <c r="T44" s="45" t="n">
        <f aca="false">T29*vehicule*T15</f>
        <v>765</v>
      </c>
      <c r="U44" s="45" t="n">
        <f aca="false">U29*vehicule*U15</f>
        <v>1530</v>
      </c>
      <c r="V44" s="45" t="n">
        <f aca="false">V29*vehicule*V15</f>
        <v>1530</v>
      </c>
      <c r="W44" s="45" t="n">
        <f aca="false">W29*vehicule*W15</f>
        <v>765</v>
      </c>
      <c r="X44" s="45" t="n">
        <f aca="false">X29*vehicule*X15</f>
        <v>1530</v>
      </c>
      <c r="Y44" s="45" t="n">
        <f aca="false">Y29*vehicule*Y15</f>
        <v>1530</v>
      </c>
      <c r="Z44" s="45" t="n">
        <f aca="false">Z29*vehicule*Z15</f>
        <v>1530</v>
      </c>
      <c r="AA44" s="45" t="n">
        <f aca="false">AA29*vehicule*AA15</f>
        <v>1530</v>
      </c>
      <c r="AB44" s="45" t="n">
        <f aca="false">AB29*vehicule*AB15</f>
        <v>1560.6</v>
      </c>
      <c r="AC44" s="45" t="n">
        <f aca="false">AC29*vehicule*AC15</f>
        <v>1560.6</v>
      </c>
      <c r="AD44" s="45" t="n">
        <f aca="false">AD29*vehicule*AD15</f>
        <v>1560.6</v>
      </c>
      <c r="AE44" s="45" t="n">
        <f aca="false">AE29*vehicule*AE15</f>
        <v>1560.6</v>
      </c>
      <c r="AF44" s="45" t="n">
        <f aca="false">AF29*vehicule*AF15</f>
        <v>1560.6</v>
      </c>
      <c r="AG44" s="45" t="n">
        <f aca="false">AG29*vehicule*AG15</f>
        <v>2340.9</v>
      </c>
      <c r="AH44" s="45" t="n">
        <f aca="false">AH29*vehicule*AH15</f>
        <v>2340.9</v>
      </c>
      <c r="AI44" s="45" t="n">
        <f aca="false">AI29*vehicule*AI15</f>
        <v>1560.6</v>
      </c>
      <c r="AJ44" s="45" t="n">
        <f aca="false">AJ29*vehicule*AJ15</f>
        <v>2340.9</v>
      </c>
      <c r="AK44" s="45" t="n">
        <f aca="false">AK29*vehicule*AK15</f>
        <v>2340.9</v>
      </c>
      <c r="AL44" s="45" t="n">
        <f aca="false">AL29*vehicule*AL15</f>
        <v>2340.9</v>
      </c>
      <c r="AM44" s="45" t="n">
        <f aca="false">AM29*vehicule*AM15</f>
        <v>2340.9</v>
      </c>
      <c r="AO44" s="45" t="n">
        <f aca="false">SUMIF($D$4:$AM$4,AO$4,$D44:$AM44)</f>
        <v>9000</v>
      </c>
      <c r="AP44" s="45" t="n">
        <f aca="false">SUMIF($D$4:$AM$4,AP$4,$D44:$AM44)</f>
        <v>13770</v>
      </c>
      <c r="AQ44" s="45" t="n">
        <f aca="false">SUMIF($D$4:$AM$4,AQ$4,$D44:$AM44)</f>
        <v>23409</v>
      </c>
    </row>
    <row r="45" customFormat="false" ht="15" hidden="false" customHeight="false" outlineLevel="0" collapsed="false">
      <c r="A45" s="10" t="s">
        <v>410</v>
      </c>
      <c r="B45" s="13" t="s">
        <v>71</v>
      </c>
      <c r="C45" s="50" t="n">
        <v>0</v>
      </c>
      <c r="D45" s="45" t="n">
        <f aca="false">(assurances+logiciels+honoraires)*D15</f>
        <v>2000</v>
      </c>
      <c r="E45" s="45" t="n">
        <f aca="false">(assurances+logiciels+honoraires)*E15</f>
        <v>2000</v>
      </c>
      <c r="F45" s="45" t="n">
        <f aca="false">(assurances+logiciels+honoraires)*F15</f>
        <v>2000</v>
      </c>
      <c r="G45" s="45" t="n">
        <f aca="false">(assurances+logiciels+honoraires)*G15</f>
        <v>2000</v>
      </c>
      <c r="H45" s="45" t="n">
        <f aca="false">(assurances+logiciels+honoraires)*H15</f>
        <v>2000</v>
      </c>
      <c r="I45" s="45" t="n">
        <f aca="false">(assurances+logiciels+honoraires)*I15</f>
        <v>2000</v>
      </c>
      <c r="J45" s="45" t="n">
        <f aca="false">(assurances+logiciels+honoraires)*J15</f>
        <v>2000</v>
      </c>
      <c r="K45" s="45" t="n">
        <f aca="false">(assurances+logiciels+honoraires)*K15</f>
        <v>2000</v>
      </c>
      <c r="L45" s="45" t="n">
        <f aca="false">(assurances+logiciels+honoraires)*L15</f>
        <v>2000</v>
      </c>
      <c r="M45" s="45" t="n">
        <f aca="false">(assurances+logiciels+honoraires)*M15</f>
        <v>2000</v>
      </c>
      <c r="N45" s="45" t="n">
        <f aca="false">(assurances+logiciels+honoraires)*N15</f>
        <v>2000</v>
      </c>
      <c r="O45" s="45" t="n">
        <f aca="false">(assurances+logiciels+honoraires)*O15</f>
        <v>2000</v>
      </c>
      <c r="P45" s="45" t="n">
        <f aca="false">(assurances+logiciels+honoraires)*P15</f>
        <v>2040</v>
      </c>
      <c r="Q45" s="45" t="n">
        <f aca="false">(assurances+logiciels+honoraires)*Q15</f>
        <v>2040</v>
      </c>
      <c r="R45" s="45" t="n">
        <f aca="false">(assurances+logiciels+honoraires)*R15</f>
        <v>2040</v>
      </c>
      <c r="S45" s="45" t="n">
        <f aca="false">(assurances+logiciels+honoraires)*S15</f>
        <v>2040</v>
      </c>
      <c r="T45" s="45" t="n">
        <f aca="false">(assurances+logiciels+honoraires)*T15</f>
        <v>2040</v>
      </c>
      <c r="U45" s="45" t="n">
        <f aca="false">(assurances+logiciels+honoraires)*U15</f>
        <v>2040</v>
      </c>
      <c r="V45" s="45" t="n">
        <f aca="false">(assurances+logiciels+honoraires)*V15</f>
        <v>2040</v>
      </c>
      <c r="W45" s="45" t="n">
        <f aca="false">(assurances+logiciels+honoraires)*W15</f>
        <v>2040</v>
      </c>
      <c r="X45" s="45" t="n">
        <f aca="false">(assurances+logiciels+honoraires)*X15</f>
        <v>2040</v>
      </c>
      <c r="Y45" s="45" t="n">
        <f aca="false">(assurances+logiciels+honoraires)*Y15</f>
        <v>2040</v>
      </c>
      <c r="Z45" s="45" t="n">
        <f aca="false">(assurances+logiciels+honoraires)*Z15</f>
        <v>2040</v>
      </c>
      <c r="AA45" s="45" t="n">
        <f aca="false">(assurances+logiciels+honoraires)*AA15</f>
        <v>2040</v>
      </c>
      <c r="AB45" s="45" t="n">
        <f aca="false">(assurances+logiciels+honoraires)*AB15</f>
        <v>2080.8</v>
      </c>
      <c r="AC45" s="45" t="n">
        <f aca="false">(assurances+logiciels+honoraires)*AC15</f>
        <v>2080.8</v>
      </c>
      <c r="AD45" s="45" t="n">
        <f aca="false">(assurances+logiciels+honoraires)*AD15</f>
        <v>2080.8</v>
      </c>
      <c r="AE45" s="45" t="n">
        <f aca="false">(assurances+logiciels+honoraires)*AE15</f>
        <v>2080.8</v>
      </c>
      <c r="AF45" s="45" t="n">
        <f aca="false">(assurances+logiciels+honoraires)*AF15</f>
        <v>2080.8</v>
      </c>
      <c r="AG45" s="45" t="n">
        <f aca="false">(assurances+logiciels+honoraires)*AG15</f>
        <v>2080.8</v>
      </c>
      <c r="AH45" s="45" t="n">
        <f aca="false">(assurances+logiciels+honoraires)*AH15</f>
        <v>2080.8</v>
      </c>
      <c r="AI45" s="45" t="n">
        <f aca="false">(assurances+logiciels+honoraires)*AI15</f>
        <v>2080.8</v>
      </c>
      <c r="AJ45" s="45" t="n">
        <f aca="false">(assurances+logiciels+honoraires)*AJ15</f>
        <v>2080.8</v>
      </c>
      <c r="AK45" s="45" t="n">
        <f aca="false">(assurances+logiciels+honoraires)*AK15</f>
        <v>2080.8</v>
      </c>
      <c r="AL45" s="45" t="n">
        <f aca="false">(assurances+logiciels+honoraires)*AL15</f>
        <v>2080.8</v>
      </c>
      <c r="AM45" s="45" t="n">
        <f aca="false">(assurances+logiciels+honoraires)*AM15</f>
        <v>2080.8</v>
      </c>
      <c r="AO45" s="45" t="n">
        <f aca="false">SUMIF($D$4:$AM$4,AO$4,$D45:$AM45)</f>
        <v>24000</v>
      </c>
      <c r="AP45" s="45" t="n">
        <f aca="false">SUMIF($D$4:$AM$4,AP$4,$D45:$AM45)</f>
        <v>24480</v>
      </c>
      <c r="AQ45" s="45" t="n">
        <f aca="false">SUMIF($D$4:$AM$4,AQ$4,$D45:$AM45)</f>
        <v>24969.6</v>
      </c>
    </row>
    <row r="46" customFormat="false" ht="15" hidden="false" customHeight="false" outlineLevel="0" collapsed="false">
      <c r="A46" s="10" t="s">
        <v>411</v>
      </c>
      <c r="B46" s="13" t="s">
        <v>71</v>
      </c>
      <c r="C46" s="50" t="n">
        <v>0</v>
      </c>
      <c r="D46" s="45" t="n">
        <f aca="false">CHOOSE(D$4-annee_debut+1,marketing_a1,marketing_a2,marketing_a3)*D15</f>
        <v>1500</v>
      </c>
      <c r="E46" s="45" t="n">
        <f aca="false">CHOOSE(E$4-annee_debut+1,marketing_a1,marketing_a2,marketing_a3)*E15</f>
        <v>1500</v>
      </c>
      <c r="F46" s="45" t="n">
        <f aca="false">CHOOSE(F$4-annee_debut+1,marketing_a1,marketing_a2,marketing_a3)*F15</f>
        <v>1500</v>
      </c>
      <c r="G46" s="45" t="n">
        <f aca="false">CHOOSE(G$4-annee_debut+1,marketing_a1,marketing_a2,marketing_a3)*G15</f>
        <v>1500</v>
      </c>
      <c r="H46" s="45" t="n">
        <f aca="false">CHOOSE(H$4-annee_debut+1,marketing_a1,marketing_a2,marketing_a3)*H15</f>
        <v>1500</v>
      </c>
      <c r="I46" s="45" t="n">
        <f aca="false">CHOOSE(I$4-annee_debut+1,marketing_a1,marketing_a2,marketing_a3)*I15</f>
        <v>1500</v>
      </c>
      <c r="J46" s="45" t="n">
        <f aca="false">CHOOSE(J$4-annee_debut+1,marketing_a1,marketing_a2,marketing_a3)*J15</f>
        <v>1500</v>
      </c>
      <c r="K46" s="45" t="n">
        <f aca="false">CHOOSE(K$4-annee_debut+1,marketing_a1,marketing_a2,marketing_a3)*K15</f>
        <v>1500</v>
      </c>
      <c r="L46" s="45" t="n">
        <f aca="false">CHOOSE(L$4-annee_debut+1,marketing_a1,marketing_a2,marketing_a3)*L15</f>
        <v>1500</v>
      </c>
      <c r="M46" s="45" t="n">
        <f aca="false">CHOOSE(M$4-annee_debut+1,marketing_a1,marketing_a2,marketing_a3)*M15</f>
        <v>1500</v>
      </c>
      <c r="N46" s="45" t="n">
        <f aca="false">CHOOSE(N$4-annee_debut+1,marketing_a1,marketing_a2,marketing_a3)*N15</f>
        <v>1500</v>
      </c>
      <c r="O46" s="45" t="n">
        <f aca="false">CHOOSE(O$4-annee_debut+1,marketing_a1,marketing_a2,marketing_a3)*O15</f>
        <v>1500</v>
      </c>
      <c r="P46" s="45" t="n">
        <f aca="false">CHOOSE(P$4-annee_debut+1,marketing_a1,marketing_a2,marketing_a3)*P15</f>
        <v>2040</v>
      </c>
      <c r="Q46" s="45" t="n">
        <f aca="false">CHOOSE(Q$4-annee_debut+1,marketing_a1,marketing_a2,marketing_a3)*Q15</f>
        <v>2040</v>
      </c>
      <c r="R46" s="45" t="n">
        <f aca="false">CHOOSE(R$4-annee_debut+1,marketing_a1,marketing_a2,marketing_a3)*R15</f>
        <v>2040</v>
      </c>
      <c r="S46" s="45" t="n">
        <f aca="false">CHOOSE(S$4-annee_debut+1,marketing_a1,marketing_a2,marketing_a3)*S15</f>
        <v>2040</v>
      </c>
      <c r="T46" s="45" t="n">
        <f aca="false">CHOOSE(T$4-annee_debut+1,marketing_a1,marketing_a2,marketing_a3)*T15</f>
        <v>2040</v>
      </c>
      <c r="U46" s="45" t="n">
        <f aca="false">CHOOSE(U$4-annee_debut+1,marketing_a1,marketing_a2,marketing_a3)*U15</f>
        <v>2040</v>
      </c>
      <c r="V46" s="45" t="n">
        <f aca="false">CHOOSE(V$4-annee_debut+1,marketing_a1,marketing_a2,marketing_a3)*V15</f>
        <v>2040</v>
      </c>
      <c r="W46" s="45" t="n">
        <f aca="false">CHOOSE(W$4-annee_debut+1,marketing_a1,marketing_a2,marketing_a3)*W15</f>
        <v>2040</v>
      </c>
      <c r="X46" s="45" t="n">
        <f aca="false">CHOOSE(X$4-annee_debut+1,marketing_a1,marketing_a2,marketing_a3)*X15</f>
        <v>2040</v>
      </c>
      <c r="Y46" s="45" t="n">
        <f aca="false">CHOOSE(Y$4-annee_debut+1,marketing_a1,marketing_a2,marketing_a3)*Y15</f>
        <v>2040</v>
      </c>
      <c r="Z46" s="45" t="n">
        <f aca="false">CHOOSE(Z$4-annee_debut+1,marketing_a1,marketing_a2,marketing_a3)*Z15</f>
        <v>2040</v>
      </c>
      <c r="AA46" s="45" t="n">
        <f aca="false">CHOOSE(AA$4-annee_debut+1,marketing_a1,marketing_a2,marketing_a3)*AA15</f>
        <v>2040</v>
      </c>
      <c r="AB46" s="45" t="n">
        <f aca="false">CHOOSE(AB$4-annee_debut+1,marketing_a1,marketing_a2,marketing_a3)*AB15</f>
        <v>2601</v>
      </c>
      <c r="AC46" s="45" t="n">
        <f aca="false">CHOOSE(AC$4-annee_debut+1,marketing_a1,marketing_a2,marketing_a3)*AC15</f>
        <v>2601</v>
      </c>
      <c r="AD46" s="45" t="n">
        <f aca="false">CHOOSE(AD$4-annee_debut+1,marketing_a1,marketing_a2,marketing_a3)*AD15</f>
        <v>2601</v>
      </c>
      <c r="AE46" s="45" t="n">
        <f aca="false">CHOOSE(AE$4-annee_debut+1,marketing_a1,marketing_a2,marketing_a3)*AE15</f>
        <v>2601</v>
      </c>
      <c r="AF46" s="45" t="n">
        <f aca="false">CHOOSE(AF$4-annee_debut+1,marketing_a1,marketing_a2,marketing_a3)*AF15</f>
        <v>2601</v>
      </c>
      <c r="AG46" s="45" t="n">
        <f aca="false">CHOOSE(AG$4-annee_debut+1,marketing_a1,marketing_a2,marketing_a3)*AG15</f>
        <v>2601</v>
      </c>
      <c r="AH46" s="45" t="n">
        <f aca="false">CHOOSE(AH$4-annee_debut+1,marketing_a1,marketing_a2,marketing_a3)*AH15</f>
        <v>2601</v>
      </c>
      <c r="AI46" s="45" t="n">
        <f aca="false">CHOOSE(AI$4-annee_debut+1,marketing_a1,marketing_a2,marketing_a3)*AI15</f>
        <v>2601</v>
      </c>
      <c r="AJ46" s="45" t="n">
        <f aca="false">CHOOSE(AJ$4-annee_debut+1,marketing_a1,marketing_a2,marketing_a3)*AJ15</f>
        <v>2601</v>
      </c>
      <c r="AK46" s="45" t="n">
        <f aca="false">CHOOSE(AK$4-annee_debut+1,marketing_a1,marketing_a2,marketing_a3)*AK15</f>
        <v>2601</v>
      </c>
      <c r="AL46" s="45" t="n">
        <f aca="false">CHOOSE(AL$4-annee_debut+1,marketing_a1,marketing_a2,marketing_a3)*AL15</f>
        <v>2601</v>
      </c>
      <c r="AM46" s="45" t="n">
        <f aca="false">CHOOSE(AM$4-annee_debut+1,marketing_a1,marketing_a2,marketing_a3)*AM15</f>
        <v>2601</v>
      </c>
      <c r="AO46" s="45" t="n">
        <f aca="false">SUMIF($D$4:$AM$4,AO$4,$D46:$AM46)</f>
        <v>18000</v>
      </c>
      <c r="AP46" s="45" t="n">
        <f aca="false">SUMIF($D$4:$AM$4,AP$4,$D46:$AM46)</f>
        <v>24480</v>
      </c>
      <c r="AQ46" s="45" t="n">
        <f aca="false">SUMIF($D$4:$AM$4,AQ$4,$D46:$AM46)</f>
        <v>31212</v>
      </c>
    </row>
    <row r="47" customFormat="false" ht="15" hidden="false" customHeight="false" outlineLevel="0" collapsed="false">
      <c r="A47" s="11" t="s">
        <v>412</v>
      </c>
      <c r="B47" s="13" t="s">
        <v>71</v>
      </c>
      <c r="C47" s="50" t="n">
        <v>0</v>
      </c>
      <c r="D47" s="44" t="n">
        <f aca="false">SUM(D42:D46)</f>
        <v>9050</v>
      </c>
      <c r="E47" s="44" t="n">
        <f aca="false">SUM(E42:E46)</f>
        <v>9050</v>
      </c>
      <c r="F47" s="44" t="n">
        <f aca="false">SUM(F42:F46)</f>
        <v>9050</v>
      </c>
      <c r="G47" s="44" t="n">
        <f aca="false">SUM(G42:G46)</f>
        <v>9050</v>
      </c>
      <c r="H47" s="44" t="n">
        <f aca="false">SUM(H42:H46)</f>
        <v>9050</v>
      </c>
      <c r="I47" s="44" t="n">
        <f aca="false">SUM(I42:I46)</f>
        <v>9050</v>
      </c>
      <c r="J47" s="44" t="n">
        <f aca="false">SUM(J42:J46)</f>
        <v>9050</v>
      </c>
      <c r="K47" s="44" t="n">
        <f aca="false">SUM(K42:K46)</f>
        <v>9050</v>
      </c>
      <c r="L47" s="44" t="n">
        <f aca="false">SUM(L42:L46)</f>
        <v>9050</v>
      </c>
      <c r="M47" s="44" t="n">
        <f aca="false">SUM(M42:M46)</f>
        <v>9050</v>
      </c>
      <c r="N47" s="44" t="n">
        <f aca="false">SUM(N42:N46)</f>
        <v>9050</v>
      </c>
      <c r="O47" s="44" t="n">
        <f aca="false">SUM(O42:O46)</f>
        <v>9050</v>
      </c>
      <c r="P47" s="44" t="n">
        <f aca="false">SUM(P42:P46)</f>
        <v>9741</v>
      </c>
      <c r="Q47" s="44" t="n">
        <f aca="false">SUM(Q42:Q46)</f>
        <v>9741</v>
      </c>
      <c r="R47" s="44" t="n">
        <f aca="false">SUM(R42:R46)</f>
        <v>9741</v>
      </c>
      <c r="S47" s="44" t="n">
        <f aca="false">SUM(S42:S46)</f>
        <v>9741</v>
      </c>
      <c r="T47" s="44" t="n">
        <f aca="false">SUM(T42:T46)</f>
        <v>9741</v>
      </c>
      <c r="U47" s="44" t="n">
        <f aca="false">SUM(U42:U46)</f>
        <v>10506</v>
      </c>
      <c r="V47" s="44" t="n">
        <f aca="false">SUM(V42:V46)</f>
        <v>10506</v>
      </c>
      <c r="W47" s="44" t="n">
        <f aca="false">SUM(W42:W46)</f>
        <v>9741</v>
      </c>
      <c r="X47" s="44" t="n">
        <f aca="false">SUM(X42:X46)</f>
        <v>10506</v>
      </c>
      <c r="Y47" s="44" t="n">
        <f aca="false">SUM(Y42:Y46)</f>
        <v>10506</v>
      </c>
      <c r="Z47" s="44" t="n">
        <f aca="false">SUM(Z42:Z46)</f>
        <v>10506</v>
      </c>
      <c r="AA47" s="44" t="n">
        <f aca="false">SUM(AA42:AA46)</f>
        <v>10506</v>
      </c>
      <c r="AB47" s="44" t="n">
        <f aca="false">SUM(AB42:AB46)</f>
        <v>11236.32</v>
      </c>
      <c r="AC47" s="44" t="n">
        <f aca="false">SUM(AC42:AC46)</f>
        <v>11236.32</v>
      </c>
      <c r="AD47" s="44" t="n">
        <f aca="false">SUM(AD42:AD46)</f>
        <v>11236.32</v>
      </c>
      <c r="AE47" s="44" t="n">
        <f aca="false">SUM(AE42:AE46)</f>
        <v>11236.32</v>
      </c>
      <c r="AF47" s="44" t="n">
        <f aca="false">SUM(AF42:AF46)</f>
        <v>11236.32</v>
      </c>
      <c r="AG47" s="44" t="n">
        <f aca="false">SUM(AG42:AG46)</f>
        <v>12016.62</v>
      </c>
      <c r="AH47" s="44" t="n">
        <f aca="false">SUM(AH42:AH46)</f>
        <v>12016.62</v>
      </c>
      <c r="AI47" s="44" t="n">
        <f aca="false">SUM(AI42:AI46)</f>
        <v>11236.32</v>
      </c>
      <c r="AJ47" s="44" t="n">
        <f aca="false">SUM(AJ42:AJ46)</f>
        <v>12016.62</v>
      </c>
      <c r="AK47" s="44" t="n">
        <f aca="false">SUM(AK42:AK46)</f>
        <v>12016.62</v>
      </c>
      <c r="AL47" s="44" t="n">
        <f aca="false">SUM(AL42:AL46)</f>
        <v>12016.62</v>
      </c>
      <c r="AM47" s="44" t="n">
        <f aca="false">SUM(AM42:AM46)</f>
        <v>12016.62</v>
      </c>
      <c r="AO47" s="44" t="n">
        <f aca="false">SUMIF($D$4:$AM$4,AO$4,$D47:$AM47)</f>
        <v>108600</v>
      </c>
      <c r="AP47" s="44" t="n">
        <f aca="false">SUMIF($D$4:$AM$4,AP$4,$D47:$AM47)</f>
        <v>121482</v>
      </c>
      <c r="AQ47" s="44" t="n">
        <f aca="false">SUMIF($D$4:$AM$4,AQ$4,$D47:$AM47)</f>
        <v>139517.64</v>
      </c>
    </row>
    <row r="48" customFormat="false" ht="15" hidden="false" customHeight="false" outlineLevel="0" collapsed="false">
      <c r="A48" s="11" t="s">
        <v>226</v>
      </c>
      <c r="B48" s="13" t="s">
        <v>161</v>
      </c>
      <c r="C48" s="50" t="n">
        <v>0</v>
      </c>
      <c r="D48" s="44" t="n">
        <f aca="false">D25-D39-D47</f>
        <v>-19535.1733333333</v>
      </c>
      <c r="E48" s="44" t="n">
        <f aca="false">E25-E39-E47</f>
        <v>-18845.8165333333</v>
      </c>
      <c r="F48" s="44" t="n">
        <f aca="false">F25-F39-F47</f>
        <v>-18098.2122133333</v>
      </c>
      <c r="G48" s="44" t="n">
        <f aca="false">G25-G39-G47</f>
        <v>-22201.6983839147</v>
      </c>
      <c r="H48" s="44" t="n">
        <f aca="false">H25-H39-H47</f>
        <v>-21438.3918593963</v>
      </c>
      <c r="I48" s="44" t="n">
        <f aca="false">I25-I39-I47</f>
        <v>-20656.7413431717</v>
      </c>
      <c r="J48" s="44" t="n">
        <f aca="false">J25-J39-J47</f>
        <v>-20073.5491417642</v>
      </c>
      <c r="K48" s="44" t="n">
        <f aca="false">K25-K39-K47</f>
        <v>-20440.3993779299</v>
      </c>
      <c r="L48" s="44" t="n">
        <f aca="false">L25-L39-L47</f>
        <v>-18762.7541957503</v>
      </c>
      <c r="M48" s="44" t="n">
        <f aca="false">M25-M39-M47</f>
        <v>-18229.1921825603</v>
      </c>
      <c r="N48" s="44" t="n">
        <f aca="false">N25-N39-N47</f>
        <v>-17783.6340862081</v>
      </c>
      <c r="O48" s="44" t="n">
        <f aca="false">O25-O39-O47</f>
        <v>-17075.3139340263</v>
      </c>
      <c r="P48" s="44" t="n">
        <f aca="false">P25-P39-P47</f>
        <v>-23850.7778885956</v>
      </c>
      <c r="Q48" s="44" t="n">
        <f aca="false">Q25-Q39-Q47</f>
        <v>-22771.6511308237</v>
      </c>
      <c r="R48" s="44" t="n">
        <f aca="false">R25-R39-R47</f>
        <v>-21279.8648503492</v>
      </c>
      <c r="S48" s="44" t="n">
        <f aca="false">S25-S39-S47</f>
        <v>-20008.7627466619</v>
      </c>
      <c r="T48" s="44" t="n">
        <f aca="false">T25-T39-T47</f>
        <v>-18620.9873459085</v>
      </c>
      <c r="U48" s="44" t="n">
        <f aca="false">U25-U39-U47</f>
        <v>-21029.4960576867</v>
      </c>
      <c r="V48" s="44" t="n">
        <f aca="false">V25-V39-V47</f>
        <v>-20309.4474630106</v>
      </c>
      <c r="W48" s="44" t="n">
        <f aca="false">W25-W39-W47</f>
        <v>-18666.1099333176</v>
      </c>
      <c r="X48" s="44" t="n">
        <f aca="false">X25-X39-X47</f>
        <v>-18257.5145594753</v>
      </c>
      <c r="Y48" s="44" t="n">
        <f aca="false">Y25-Y39-Y47</f>
        <v>-17550.8619680996</v>
      </c>
      <c r="Z48" s="44" t="n">
        <f aca="false">Z25-Z39-Z47</f>
        <v>-19936.2673234639</v>
      </c>
      <c r="AA48" s="44" t="n">
        <f aca="false">AA25-AA39-AA47</f>
        <v>-18698.8638401735</v>
      </c>
      <c r="AB48" s="44" t="n">
        <f aca="false">AB25-AB39-AB47</f>
        <v>-21527.9654745199</v>
      </c>
      <c r="AC48" s="44" t="n">
        <f aca="false">AC25-AC39-AC47</f>
        <v>-20305.6170770295</v>
      </c>
      <c r="AD48" s="44" t="n">
        <f aca="false">AD25-AD39-AD47</f>
        <v>-18148.8324681439</v>
      </c>
      <c r="AE48" s="44" t="n">
        <f aca="false">AE25-AE39-AE47</f>
        <v>-16522.2263516778</v>
      </c>
      <c r="AF48" s="44" t="n">
        <f aca="false">AF25-AF39-AF47</f>
        <v>-14670.0603568025</v>
      </c>
      <c r="AG48" s="44" t="n">
        <f aca="false">AG25-AG39-AG47</f>
        <v>-16686.8673035655</v>
      </c>
      <c r="AH48" s="44" t="n">
        <f aca="false">AH25-AH39-AH47</f>
        <v>-16151.4590265131</v>
      </c>
      <c r="AI48" s="44" t="n">
        <f aca="false">AI25-AI39-AI47</f>
        <v>-17056.214317104</v>
      </c>
      <c r="AJ48" s="44" t="n">
        <f aca="false">AJ25-AJ39-AJ47</f>
        <v>-13827.1937089032</v>
      </c>
      <c r="AK48" s="44" t="n">
        <f aca="false">AK25-AK39-AK47</f>
        <v>-13213.55764369</v>
      </c>
      <c r="AL48" s="44" t="n">
        <f aca="false">AL25-AL39-AL47</f>
        <v>-12922.1983522347</v>
      </c>
      <c r="AM48" s="44" t="n">
        <f aca="false">AM25-AM39-AM47</f>
        <v>-11333.7633350793</v>
      </c>
      <c r="AO48" s="44" t="n">
        <f aca="false">SUMIF($D$4:$AM$4,AO$4,$D48:$AM48)</f>
        <v>-233140.876584722</v>
      </c>
      <c r="AP48" s="44" t="n">
        <f aca="false">SUMIF($D$4:$AM$4,AP$4,$D48:$AM48)</f>
        <v>-240980.605107566</v>
      </c>
      <c r="AQ48" s="44" t="n">
        <f aca="false">SUMIF($D$4:$AM$4,AQ$4,$D48:$AM48)</f>
        <v>-192365.955415263</v>
      </c>
    </row>
    <row r="49" customFormat="false" ht="15" hidden="false" customHeight="false" outlineLevel="0" collapsed="false">
      <c r="A49" s="10" t="s">
        <v>227</v>
      </c>
      <c r="B49" s="13" t="s">
        <v>66</v>
      </c>
      <c r="C49" s="58" t="n">
        <v>0</v>
      </c>
      <c r="D49" s="41" t="n">
        <f aca="false">IF(D19=0,0,D48/D19)</f>
        <v>-32.8653656348138</v>
      </c>
      <c r="E49" s="41" t="n">
        <f aca="false">IF(E19=0,0,E48/E19)</f>
        <v>-10.6394675434555</v>
      </c>
      <c r="F49" s="41" t="n">
        <f aca="false">IF(F19=0,0,F48/F19)</f>
        <v>-5.91350382113254</v>
      </c>
      <c r="G49" s="41" t="n">
        <f aca="false">IF(G19=0,0,G48/G19)</f>
        <v>-5.14095544325203</v>
      </c>
      <c r="H49" s="41" t="n">
        <f aca="false">IF(H19=0,0,H48/H19)</f>
        <v>-3.79969516209429</v>
      </c>
      <c r="I49" s="41" t="n">
        <f aca="false">IF(I19=0,0,I48/I19)</f>
        <v>-2.94988083114608</v>
      </c>
      <c r="J49" s="41" t="n">
        <f aca="false">IF(J19=0,0,J48/J19)</f>
        <v>-2.51198126693113</v>
      </c>
      <c r="K49" s="41" t="n">
        <f aca="false">IF(K19=0,0,K48/K19)</f>
        <v>-2.84256438672754</v>
      </c>
      <c r="L49" s="41" t="n">
        <f aca="false">IF(L19=0,0,L48/L19)</f>
        <v>-1.83103249040157</v>
      </c>
      <c r="M49" s="41" t="n">
        <f aca="false">IF(M19=0,0,M48/M19)</f>
        <v>-1.63511030587564</v>
      </c>
      <c r="N49" s="41" t="n">
        <f aca="false">IF(N19=0,0,N48/N19)</f>
        <v>-1.49614665658315</v>
      </c>
      <c r="O49" s="41" t="n">
        <f aca="false">IF(O19=0,0,O48/O19)</f>
        <v>-1.30133348018965</v>
      </c>
      <c r="P49" s="41" t="n">
        <f aca="false">IF(P19=0,0,P48/P19)</f>
        <v>-1.70571685667879</v>
      </c>
      <c r="Q49" s="41" t="n">
        <f aca="false">IF(Q19=0,0,Q48/Q19)</f>
        <v>-1.4389488837936</v>
      </c>
      <c r="R49" s="41" t="n">
        <f aca="false">IF(R19=0,0,R48/R19)</f>
        <v>-1.15342051961816</v>
      </c>
      <c r="S49" s="41" t="n">
        <f aca="false">IF(S19=0,0,S48/S19)</f>
        <v>-0.968420561201641</v>
      </c>
      <c r="T49" s="41" t="n">
        <f aca="false">IF(T19=0,0,T48/T19)</f>
        <v>-0.806216508870889</v>
      </c>
      <c r="U49" s="41" t="n">
        <f aca="false">IF(U19=0,0,U48/U19)</f>
        <v>-0.821784593416045</v>
      </c>
      <c r="V49" s="41" t="n">
        <f aca="false">IF(V19=0,0,V48/V19)</f>
        <v>-0.758554266681208</v>
      </c>
      <c r="W49" s="41" t="n">
        <f aca="false">IF(W19=0,0,W48/W19)</f>
        <v>-0.829945118308068</v>
      </c>
      <c r="X49" s="41" t="n">
        <f aca="false">IF(X19=0,0,X48/X19)</f>
        <v>-0.602450765249158</v>
      </c>
      <c r="Y49" s="41" t="n">
        <f aca="false">IF(Y19=0,0,Y48/Y19)</f>
        <v>-0.557626686339132</v>
      </c>
      <c r="Z49" s="41" t="n">
        <f aca="false">IF(Z19=0,0,Z48/Z19)</f>
        <v>-0.617884487308778</v>
      </c>
      <c r="AA49" s="41" t="n">
        <f aca="false">IF(AA19=0,0,AA48/AA19)</f>
        <v>-0.542920762442106</v>
      </c>
      <c r="AB49" s="41" t="n">
        <f aca="false">IF(AB19=0,0,AB48/AB19)</f>
        <v>-0.618624909102363</v>
      </c>
      <c r="AC49" s="41" t="n">
        <f aca="false">IF(AC19=0,0,AC48/AC19)</f>
        <v>-0.550488010606264</v>
      </c>
      <c r="AD49" s="41" t="n">
        <f aca="false">IF(AD19=0,0,AD48/AD19)</f>
        <v>-0.445485613377707</v>
      </c>
      <c r="AE49" s="41" t="n">
        <f aca="false">IF(AE19=0,0,AE48/AE19)</f>
        <v>-0.378975839776667</v>
      </c>
      <c r="AF49" s="41" t="n">
        <f aca="false">IF(AF19=0,0,AF48/AF19)</f>
        <v>-0.312900763147382</v>
      </c>
      <c r="AG49" s="41" t="n">
        <f aca="false">IF(AG19=0,0,AG48/AG19)</f>
        <v>-0.332166154197269</v>
      </c>
      <c r="AH49" s="41" t="n">
        <f aca="false">IF(AH19=0,0,AH48/AH19)</f>
        <v>-0.316389886817923</v>
      </c>
      <c r="AI49" s="41" t="n">
        <f aca="false">IF(AI19=0,0,AI48/AI19)</f>
        <v>-0.408087043998482</v>
      </c>
      <c r="AJ49" s="41" t="n">
        <f aca="false">IF(AJ19=0,0,AJ48/AJ19)</f>
        <v>-0.251177709372916</v>
      </c>
      <c r="AK49" s="41" t="n">
        <f aca="false">IF(AK19=0,0,AK48/AK19)</f>
        <v>-0.235867055546867</v>
      </c>
      <c r="AL49" s="41" t="n">
        <f aca="false">IF(AL19=0,0,AL48/AL19)</f>
        <v>-0.229161267049672</v>
      </c>
      <c r="AM49" s="41" t="n">
        <f aca="false">IF(AM19=0,0,AM48/AM19)</f>
        <v>-0.191429523546601</v>
      </c>
      <c r="AO49" s="41" t="n">
        <f aca="false">IF(AO19=0,0,AO48/AO19)</f>
        <v>-2.77631855985895</v>
      </c>
      <c r="AP49" s="41" t="n">
        <f aca="false">IF(AP19=0,0,AP48/AP19)</f>
        <v>-0.815897934550909</v>
      </c>
      <c r="AQ49" s="41" t="n">
        <f aca="false">IF(AQ19=0,0,AQ48/AQ19)</f>
        <v>-0.335920169443262</v>
      </c>
    </row>
    <row r="50" customFormat="false" ht="15" hidden="false" customHeight="false" outlineLevel="0" collapsed="false">
      <c r="A50" s="5" t="s">
        <v>413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</row>
    <row r="51" customFormat="false" ht="15" hidden="false" customHeight="false" outlineLevel="0" collapsed="false">
      <c r="A51" s="10" t="s">
        <v>414</v>
      </c>
      <c r="B51" s="13" t="s">
        <v>71</v>
      </c>
      <c r="C51" s="50" t="n">
        <v>0</v>
      </c>
      <c r="D51" s="45" t="n">
        <f aca="false">(D41-C41)*prix_ligne</f>
        <v>150000</v>
      </c>
      <c r="E51" s="45" t="n">
        <f aca="false">(E41-D41)*prix_ligne</f>
        <v>0</v>
      </c>
      <c r="F51" s="45" t="n">
        <f aca="false">(F41-E41)*prix_ligne</f>
        <v>0</v>
      </c>
      <c r="G51" s="45" t="n">
        <f aca="false">(G41-F41)*prix_ligne</f>
        <v>0</v>
      </c>
      <c r="H51" s="45" t="n">
        <f aca="false">(H41-G41)*prix_ligne</f>
        <v>0</v>
      </c>
      <c r="I51" s="45" t="n">
        <f aca="false">(I41-H41)*prix_ligne</f>
        <v>0</v>
      </c>
      <c r="J51" s="45" t="n">
        <f aca="false">(J41-I41)*prix_ligne</f>
        <v>0</v>
      </c>
      <c r="K51" s="45" t="n">
        <f aca="false">(K41-J41)*prix_ligne</f>
        <v>0</v>
      </c>
      <c r="L51" s="45" t="n">
        <f aca="false">(L41-K41)*prix_ligne</f>
        <v>0</v>
      </c>
      <c r="M51" s="45" t="n">
        <f aca="false">(M41-L41)*prix_ligne</f>
        <v>0</v>
      </c>
      <c r="N51" s="45" t="n">
        <f aca="false">(N41-M41)*prix_ligne</f>
        <v>0</v>
      </c>
      <c r="O51" s="45" t="n">
        <f aca="false">(O41-N41)*prix_ligne</f>
        <v>0</v>
      </c>
      <c r="P51" s="45" t="n">
        <f aca="false">(P41-O41)*prix_ligne</f>
        <v>0</v>
      </c>
      <c r="Q51" s="45" t="n">
        <f aca="false">(Q41-P41)*prix_ligne</f>
        <v>0</v>
      </c>
      <c r="R51" s="45" t="n">
        <f aca="false">(R41-Q41)*prix_ligne</f>
        <v>0</v>
      </c>
      <c r="S51" s="45" t="n">
        <f aca="false">(S41-R41)*prix_ligne</f>
        <v>0</v>
      </c>
      <c r="T51" s="45" t="n">
        <f aca="false">(T41-S41)*prix_ligne</f>
        <v>0</v>
      </c>
      <c r="U51" s="45" t="n">
        <f aca="false">(U41-T41)*prix_ligne</f>
        <v>0</v>
      </c>
      <c r="V51" s="45" t="n">
        <f aca="false">(V41-U41)*prix_ligne</f>
        <v>0</v>
      </c>
      <c r="W51" s="45" t="n">
        <f aca="false">(W41-V41)*prix_ligne</f>
        <v>0</v>
      </c>
      <c r="X51" s="45" t="n">
        <f aca="false">(X41-W41)*prix_ligne</f>
        <v>0</v>
      </c>
      <c r="Y51" s="45" t="n">
        <f aca="false">(Y41-X41)*prix_ligne</f>
        <v>0</v>
      </c>
      <c r="Z51" s="45" t="n">
        <f aca="false">(Z41-Y41)*prix_ligne</f>
        <v>0</v>
      </c>
      <c r="AA51" s="45" t="n">
        <f aca="false">(AA41-Z41)*prix_ligne</f>
        <v>0</v>
      </c>
      <c r="AB51" s="45" t="n">
        <f aca="false">(AB41-AA41)*prix_ligne</f>
        <v>0</v>
      </c>
      <c r="AC51" s="45" t="n">
        <f aca="false">(AC41-AB41)*prix_ligne</f>
        <v>0</v>
      </c>
      <c r="AD51" s="45" t="n">
        <f aca="false">(AD41-AC41)*prix_ligne</f>
        <v>0</v>
      </c>
      <c r="AE51" s="45" t="n">
        <f aca="false">(AE41-AD41)*prix_ligne</f>
        <v>0</v>
      </c>
      <c r="AF51" s="45" t="n">
        <f aca="false">(AF41-AE41)*prix_ligne</f>
        <v>0</v>
      </c>
      <c r="AG51" s="45" t="n">
        <f aca="false">(AG41-AF41)*prix_ligne</f>
        <v>0</v>
      </c>
      <c r="AH51" s="45" t="n">
        <f aca="false">(AH41-AG41)*prix_ligne</f>
        <v>0</v>
      </c>
      <c r="AI51" s="45" t="n">
        <f aca="false">(AI41-AH41)*prix_ligne</f>
        <v>0</v>
      </c>
      <c r="AJ51" s="45" t="n">
        <f aca="false">(AJ41-AI41)*prix_ligne</f>
        <v>0</v>
      </c>
      <c r="AK51" s="45" t="n">
        <f aca="false">(AK41-AJ41)*prix_ligne</f>
        <v>0</v>
      </c>
      <c r="AL51" s="45" t="n">
        <f aca="false">(AL41-AK41)*prix_ligne</f>
        <v>0</v>
      </c>
      <c r="AM51" s="45" t="n">
        <f aca="false">(AM41-AL41)*prix_ligne</f>
        <v>0</v>
      </c>
      <c r="AO51" s="45" t="n">
        <f aca="false">SUMIF($D$4:$AM$4,AO$4,$D51:$AM51)</f>
        <v>150000</v>
      </c>
      <c r="AP51" s="45" t="n">
        <f aca="false">SUMIF($D$4:$AM$4,AP$4,$D51:$AM51)</f>
        <v>0</v>
      </c>
      <c r="AQ51" s="45" t="n">
        <f aca="false">SUMIF($D$4:$AM$4,AQ$4,$D51:$AM51)</f>
        <v>0</v>
      </c>
    </row>
    <row r="52" customFormat="false" ht="15" hidden="false" customHeight="false" outlineLevel="0" collapsed="false">
      <c r="A52" s="10" t="s">
        <v>118</v>
      </c>
      <c r="B52" s="13" t="s">
        <v>71</v>
      </c>
      <c r="C52" s="50" t="n">
        <v>0</v>
      </c>
      <c r="D52" s="45" t="n">
        <f aca="false">IF(D$6=mois_amenagement,amenagement,0)</f>
        <v>70000</v>
      </c>
      <c r="E52" s="45" t="n">
        <f aca="false">IF(E$6=mois_amenagement,amenagement,0)</f>
        <v>0</v>
      </c>
      <c r="F52" s="45" t="n">
        <f aca="false">IF(F$6=mois_amenagement,amenagement,0)</f>
        <v>0</v>
      </c>
      <c r="G52" s="45" t="n">
        <f aca="false">IF(G$6=mois_amenagement,amenagement,0)</f>
        <v>0</v>
      </c>
      <c r="H52" s="45" t="n">
        <f aca="false">IF(H$6=mois_amenagement,amenagement,0)</f>
        <v>0</v>
      </c>
      <c r="I52" s="45" t="n">
        <f aca="false">IF(I$6=mois_amenagement,amenagement,0)</f>
        <v>0</v>
      </c>
      <c r="J52" s="45" t="n">
        <f aca="false">IF(J$6=mois_amenagement,amenagement,0)</f>
        <v>0</v>
      </c>
      <c r="K52" s="45" t="n">
        <f aca="false">IF(K$6=mois_amenagement,amenagement,0)</f>
        <v>0</v>
      </c>
      <c r="L52" s="45" t="n">
        <f aca="false">IF(L$6=mois_amenagement,amenagement,0)</f>
        <v>0</v>
      </c>
      <c r="M52" s="45" t="n">
        <f aca="false">IF(M$6=mois_amenagement,amenagement,0)</f>
        <v>0</v>
      </c>
      <c r="N52" s="45" t="n">
        <f aca="false">IF(N$6=mois_amenagement,amenagement,0)</f>
        <v>0</v>
      </c>
      <c r="O52" s="45" t="n">
        <f aca="false">IF(O$6=mois_amenagement,amenagement,0)</f>
        <v>0</v>
      </c>
      <c r="P52" s="45" t="n">
        <f aca="false">IF(P$6=mois_amenagement,amenagement,0)</f>
        <v>0</v>
      </c>
      <c r="Q52" s="45" t="n">
        <f aca="false">IF(Q$6=mois_amenagement,amenagement,0)</f>
        <v>0</v>
      </c>
      <c r="R52" s="45" t="n">
        <f aca="false">IF(R$6=mois_amenagement,amenagement,0)</f>
        <v>0</v>
      </c>
      <c r="S52" s="45" t="n">
        <f aca="false">IF(S$6=mois_amenagement,amenagement,0)</f>
        <v>0</v>
      </c>
      <c r="T52" s="45" t="n">
        <f aca="false">IF(T$6=mois_amenagement,amenagement,0)</f>
        <v>0</v>
      </c>
      <c r="U52" s="45" t="n">
        <f aca="false">IF(U$6=mois_amenagement,amenagement,0)</f>
        <v>0</v>
      </c>
      <c r="V52" s="45" t="n">
        <f aca="false">IF(V$6=mois_amenagement,amenagement,0)</f>
        <v>0</v>
      </c>
      <c r="W52" s="45" t="n">
        <f aca="false">IF(W$6=mois_amenagement,amenagement,0)</f>
        <v>0</v>
      </c>
      <c r="X52" s="45" t="n">
        <f aca="false">IF(X$6=mois_amenagement,amenagement,0)</f>
        <v>0</v>
      </c>
      <c r="Y52" s="45" t="n">
        <f aca="false">IF(Y$6=mois_amenagement,amenagement,0)</f>
        <v>0</v>
      </c>
      <c r="Z52" s="45" t="n">
        <f aca="false">IF(Z$6=mois_amenagement,amenagement,0)</f>
        <v>0</v>
      </c>
      <c r="AA52" s="45" t="n">
        <f aca="false">IF(AA$6=mois_amenagement,amenagement,0)</f>
        <v>0</v>
      </c>
      <c r="AB52" s="45" t="n">
        <f aca="false">IF(AB$6=mois_amenagement,amenagement,0)</f>
        <v>0</v>
      </c>
      <c r="AC52" s="45" t="n">
        <f aca="false">IF(AC$6=mois_amenagement,amenagement,0)</f>
        <v>0</v>
      </c>
      <c r="AD52" s="45" t="n">
        <f aca="false">IF(AD$6=mois_amenagement,amenagement,0)</f>
        <v>0</v>
      </c>
      <c r="AE52" s="45" t="n">
        <f aca="false">IF(AE$6=mois_amenagement,amenagement,0)</f>
        <v>0</v>
      </c>
      <c r="AF52" s="45" t="n">
        <f aca="false">IF(AF$6=mois_amenagement,amenagement,0)</f>
        <v>0</v>
      </c>
      <c r="AG52" s="45" t="n">
        <f aca="false">IF(AG$6=mois_amenagement,amenagement,0)</f>
        <v>0</v>
      </c>
      <c r="AH52" s="45" t="n">
        <f aca="false">IF(AH$6=mois_amenagement,amenagement,0)</f>
        <v>0</v>
      </c>
      <c r="AI52" s="45" t="n">
        <f aca="false">IF(AI$6=mois_amenagement,amenagement,0)</f>
        <v>0</v>
      </c>
      <c r="AJ52" s="45" t="n">
        <f aca="false">IF(AJ$6=mois_amenagement,amenagement,0)</f>
        <v>0</v>
      </c>
      <c r="AK52" s="45" t="n">
        <f aca="false">IF(AK$6=mois_amenagement,amenagement,0)</f>
        <v>0</v>
      </c>
      <c r="AL52" s="45" t="n">
        <f aca="false">IF(AL$6=mois_amenagement,amenagement,0)</f>
        <v>0</v>
      </c>
      <c r="AM52" s="45" t="n">
        <f aca="false">IF(AM$6=mois_amenagement,amenagement,0)</f>
        <v>0</v>
      </c>
      <c r="AO52" s="45" t="n">
        <f aca="false">SUMIF($D$4:$AM$4,AO$4,$D52:$AM52)</f>
        <v>70000</v>
      </c>
      <c r="AP52" s="45" t="n">
        <f aca="false">SUMIF($D$4:$AM$4,AP$4,$D52:$AM52)</f>
        <v>0</v>
      </c>
      <c r="AQ52" s="45" t="n">
        <f aca="false">SUMIF($D$4:$AM$4,AQ$4,$D52:$AM52)</f>
        <v>0</v>
      </c>
    </row>
    <row r="53" customFormat="false" ht="15" hidden="false" customHeight="false" outlineLevel="0" collapsed="false">
      <c r="A53" s="10" t="s">
        <v>415</v>
      </c>
      <c r="B53" s="13" t="s">
        <v>59</v>
      </c>
      <c r="C53" s="50" t="n">
        <v>0</v>
      </c>
      <c r="D53" s="45" t="n">
        <f aca="false">MAX(stock_initial,D13/rot_par_contenant*(1+tampon_contenants))</f>
        <v>8000</v>
      </c>
      <c r="E53" s="45" t="n">
        <f aca="false">MAX(stock_initial,E13/rot_par_contenant*(1+tampon_contenants))</f>
        <v>8000</v>
      </c>
      <c r="F53" s="45" t="n">
        <f aca="false">MAX(stock_initial,F13/rot_par_contenant*(1+tampon_contenants))</f>
        <v>8000</v>
      </c>
      <c r="G53" s="45" t="n">
        <f aca="false">MAX(stock_initial,G13/rot_par_contenant*(1+tampon_contenants))</f>
        <v>8000</v>
      </c>
      <c r="H53" s="45" t="n">
        <f aca="false">MAX(stock_initial,H13/rot_par_contenant*(1+tampon_contenants))</f>
        <v>8000</v>
      </c>
      <c r="I53" s="45" t="n">
        <f aca="false">MAX(stock_initial,I13/rot_par_contenant*(1+tampon_contenants))</f>
        <v>8000</v>
      </c>
      <c r="J53" s="45" t="n">
        <f aca="false">MAX(stock_initial,J13/rot_par_contenant*(1+tampon_contenants))</f>
        <v>8000</v>
      </c>
      <c r="K53" s="45" t="n">
        <f aca="false">MAX(stock_initial,K13/rot_par_contenant*(1+tampon_contenants))</f>
        <v>8000</v>
      </c>
      <c r="L53" s="45" t="n">
        <f aca="false">MAX(stock_initial,L13/rot_par_contenant*(1+tampon_contenants))</f>
        <v>8000</v>
      </c>
      <c r="M53" s="45" t="n">
        <f aca="false">MAX(stock_initial,M13/rot_par_contenant*(1+tampon_contenants))</f>
        <v>8000</v>
      </c>
      <c r="N53" s="45" t="n">
        <f aca="false">MAX(stock_initial,N13/rot_par_contenant*(1+tampon_contenants))</f>
        <v>8000</v>
      </c>
      <c r="O53" s="45" t="n">
        <f aca="false">MAX(stock_initial,O13/rot_par_contenant*(1+tampon_contenants))</f>
        <v>8000</v>
      </c>
      <c r="P53" s="45" t="n">
        <f aca="false">MAX(stock_initial,P13/rot_par_contenant*(1+tampon_contenants))</f>
        <v>8000</v>
      </c>
      <c r="Q53" s="45" t="n">
        <f aca="false">MAX(stock_initial,Q13/rot_par_contenant*(1+tampon_contenants))</f>
        <v>8331.6892814693</v>
      </c>
      <c r="R53" s="45" t="n">
        <f aca="false">MAX(stock_initial,R13/rot_par_contenant*(1+tampon_contenants))</f>
        <v>9770.79525877886</v>
      </c>
      <c r="S53" s="45" t="n">
        <f aca="false">MAX(stock_initial,S13/rot_par_contenant*(1+tampon_contenants))</f>
        <v>10966.4069406753</v>
      </c>
      <c r="T53" s="45" t="n">
        <f aca="false">MAX(stock_initial,T13/rot_par_contenant*(1+tampon_contenants))</f>
        <v>12297.9693548578</v>
      </c>
      <c r="U53" s="45" t="n">
        <f aca="false">MAX(stock_initial,U13/rot_par_contenant*(1+tampon_contenants))</f>
        <v>13666.4331096966</v>
      </c>
      <c r="V53" s="45" t="n">
        <f aca="false">MAX(stock_initial,V13/rot_par_contenant*(1+tampon_contenants))</f>
        <v>14255.8737684054</v>
      </c>
      <c r="W53" s="45" t="n">
        <f aca="false">MAX(stock_initial,W13/rot_par_contenant*(1+tampon_contenants))</f>
        <v>11585.185747076</v>
      </c>
      <c r="X53" s="45" t="n">
        <f aca="false">MAX(stock_initial,X13/rot_par_contenant*(1+tampon_contenants))</f>
        <v>16136.2451671766</v>
      </c>
      <c r="Y53" s="45" t="n">
        <f aca="false">MAX(stock_initial,Y13/rot_par_contenant*(1+tampon_contenants))</f>
        <v>16723.5903540457</v>
      </c>
      <c r="Z53" s="45" t="n">
        <f aca="false">MAX(stock_initial,Z13/rot_par_contenant*(1+tampon_contenants))</f>
        <v>17087.7655795775</v>
      </c>
      <c r="AA53" s="45" t="n">
        <f aca="false">MAX(stock_initial,AA13/rot_par_contenant*(1+tampon_contenants))</f>
        <v>18280.4504733457</v>
      </c>
      <c r="AB53" s="45" t="n">
        <f aca="false">MAX(stock_initial,AB13/rot_par_contenant*(1+tampon_contenants))</f>
        <v>17962.1915594949</v>
      </c>
      <c r="AC53" s="45" t="n">
        <f aca="false">MAX(stock_initial,AC13/rot_par_contenant*(1+tampon_contenants))</f>
        <v>19039.347728305</v>
      </c>
      <c r="AD53" s="45" t="n">
        <f aca="false">MAX(stock_initial,AD13/rot_par_contenant*(1+tampon_contenants))</f>
        <v>21152.5902881462</v>
      </c>
      <c r="AE53" s="45" t="n">
        <f aca="false">MAX(stock_initial,AE13/rot_par_contenant*(1+tampon_contenants))</f>
        <v>22686.369252031</v>
      </c>
      <c r="AF53" s="45" t="n">
        <f aca="false">MAX(stock_initial,AF13/rot_par_contenant*(1+tampon_contenants))</f>
        <v>24474.1430983724</v>
      </c>
      <c r="AG53" s="45" t="n">
        <f aca="false">MAX(stock_initial,AG13/rot_par_contenant*(1+tampon_contenants))</f>
        <v>26302.8962431594</v>
      </c>
      <c r="AH53" s="45" t="n">
        <f aca="false">MAX(stock_initial,AH13/rot_par_contenant*(1+tampon_contenants))</f>
        <v>26648.4150316769</v>
      </c>
      <c r="AI53" s="45" t="n">
        <f aca="false">MAX(stock_initial,AI13/rot_par_contenant*(1+tampon_contenants))</f>
        <v>21107.0832236521</v>
      </c>
      <c r="AJ53" s="45" t="n">
        <f aca="false">MAX(stock_initial,AJ13/rot_par_contenant*(1+tampon_contenants))</f>
        <v>28736.5857964225</v>
      </c>
      <c r="AK53" s="45" t="n">
        <f aca="false">MAX(stock_initial,AK13/rot_par_contenant*(1+tampon_contenants))</f>
        <v>29182.7978122941</v>
      </c>
      <c r="AL53" s="45" t="n">
        <f aca="false">MAX(stock_initial,AL13/rot_par_contenant*(1+tampon_contenants))</f>
        <v>29278.1571417944</v>
      </c>
      <c r="AM53" s="45" t="n">
        <f aca="false">MAX(stock_initial,AM13/rot_par_contenant*(1+tampon_contenants))</f>
        <v>30808.6858789377</v>
      </c>
    </row>
    <row r="54" customFormat="false" ht="15" hidden="false" customHeight="false" outlineLevel="0" collapsed="false">
      <c r="A54" s="10" t="s">
        <v>416</v>
      </c>
      <c r="B54" s="13" t="s">
        <v>59</v>
      </c>
      <c r="C54" s="50" t="n">
        <v>0</v>
      </c>
      <c r="D54" s="45" t="n">
        <f aca="false">MAX(C54,D53)</f>
        <v>8000</v>
      </c>
      <c r="E54" s="45" t="n">
        <f aca="false">MAX(D54,E53)</f>
        <v>8000</v>
      </c>
      <c r="F54" s="45" t="n">
        <f aca="false">MAX(E54,F53)</f>
        <v>8000</v>
      </c>
      <c r="G54" s="45" t="n">
        <f aca="false">MAX(F54,G53)</f>
        <v>8000</v>
      </c>
      <c r="H54" s="45" t="n">
        <f aca="false">MAX(G54,H53)</f>
        <v>8000</v>
      </c>
      <c r="I54" s="45" t="n">
        <f aca="false">MAX(H54,I53)</f>
        <v>8000</v>
      </c>
      <c r="J54" s="45" t="n">
        <f aca="false">MAX(I54,J53)</f>
        <v>8000</v>
      </c>
      <c r="K54" s="45" t="n">
        <f aca="false">MAX(J54,K53)</f>
        <v>8000</v>
      </c>
      <c r="L54" s="45" t="n">
        <f aca="false">MAX(K54,L53)</f>
        <v>8000</v>
      </c>
      <c r="M54" s="45" t="n">
        <f aca="false">MAX(L54,M53)</f>
        <v>8000</v>
      </c>
      <c r="N54" s="45" t="n">
        <f aca="false">MAX(M54,N53)</f>
        <v>8000</v>
      </c>
      <c r="O54" s="45" t="n">
        <f aca="false">MAX(N54,O53)</f>
        <v>8000</v>
      </c>
      <c r="P54" s="45" t="n">
        <f aca="false">MAX(O54,P53)</f>
        <v>8000</v>
      </c>
      <c r="Q54" s="45" t="n">
        <f aca="false">MAX(P54,Q53)</f>
        <v>8331.6892814693</v>
      </c>
      <c r="R54" s="45" t="n">
        <f aca="false">MAX(Q54,R53)</f>
        <v>9770.79525877886</v>
      </c>
      <c r="S54" s="45" t="n">
        <f aca="false">MAX(R54,S53)</f>
        <v>10966.4069406753</v>
      </c>
      <c r="T54" s="45" t="n">
        <f aca="false">MAX(S54,T53)</f>
        <v>12297.9693548578</v>
      </c>
      <c r="U54" s="45" t="n">
        <f aca="false">MAX(T54,U53)</f>
        <v>13666.4331096966</v>
      </c>
      <c r="V54" s="45" t="n">
        <f aca="false">MAX(U54,V53)</f>
        <v>14255.8737684054</v>
      </c>
      <c r="W54" s="45" t="n">
        <f aca="false">MAX(V54,W53)</f>
        <v>14255.8737684054</v>
      </c>
      <c r="X54" s="45" t="n">
        <f aca="false">MAX(W54,X53)</f>
        <v>16136.2451671766</v>
      </c>
      <c r="Y54" s="45" t="n">
        <f aca="false">MAX(X54,Y53)</f>
        <v>16723.5903540457</v>
      </c>
      <c r="Z54" s="45" t="n">
        <f aca="false">MAX(Y54,Z53)</f>
        <v>17087.7655795775</v>
      </c>
      <c r="AA54" s="45" t="n">
        <f aca="false">MAX(Z54,AA53)</f>
        <v>18280.4504733457</v>
      </c>
      <c r="AB54" s="45" t="n">
        <f aca="false">MAX(AA54,AB53)</f>
        <v>18280.4504733457</v>
      </c>
      <c r="AC54" s="45" t="n">
        <f aca="false">MAX(AB54,AC53)</f>
        <v>19039.347728305</v>
      </c>
      <c r="AD54" s="45" t="n">
        <f aca="false">MAX(AC54,AD53)</f>
        <v>21152.5902881462</v>
      </c>
      <c r="AE54" s="45" t="n">
        <f aca="false">MAX(AD54,AE53)</f>
        <v>22686.369252031</v>
      </c>
      <c r="AF54" s="45" t="n">
        <f aca="false">MAX(AE54,AF53)</f>
        <v>24474.1430983724</v>
      </c>
      <c r="AG54" s="45" t="n">
        <f aca="false">MAX(AF54,AG53)</f>
        <v>26302.8962431594</v>
      </c>
      <c r="AH54" s="45" t="n">
        <f aca="false">MAX(AG54,AH53)</f>
        <v>26648.4150316769</v>
      </c>
      <c r="AI54" s="45" t="n">
        <f aca="false">MAX(AH54,AI53)</f>
        <v>26648.4150316769</v>
      </c>
      <c r="AJ54" s="45" t="n">
        <f aca="false">MAX(AI54,AJ53)</f>
        <v>28736.5857964225</v>
      </c>
      <c r="AK54" s="45" t="n">
        <f aca="false">MAX(AJ54,AK53)</f>
        <v>29182.7978122941</v>
      </c>
      <c r="AL54" s="45" t="n">
        <f aca="false">MAX(AK54,AL53)</f>
        <v>29278.1571417944</v>
      </c>
      <c r="AM54" s="45" t="n">
        <f aca="false">MAX(AL54,AM53)</f>
        <v>30808.6858789377</v>
      </c>
      <c r="AO54" s="45" t="n">
        <f aca="false">INDEX($D54:$AM54,(AO$4-annee_debut)*12+12)</f>
        <v>8000</v>
      </c>
      <c r="AP54" s="45" t="n">
        <f aca="false">INDEX($D54:$AM54,(AP$4-annee_debut)*12+12)</f>
        <v>18280.4504733457</v>
      </c>
      <c r="AQ54" s="45" t="n">
        <f aca="false">INDEX($D54:$AM54,(AQ$4-annee_debut)*12+12)</f>
        <v>30808.6858789377</v>
      </c>
    </row>
    <row r="55" customFormat="false" ht="15" hidden="false" customHeight="false" outlineLevel="0" collapsed="false">
      <c r="A55" s="10" t="s">
        <v>417</v>
      </c>
      <c r="B55" s="13" t="s">
        <v>71</v>
      </c>
      <c r="C55" s="50" t="n">
        <v>0</v>
      </c>
      <c r="D55" s="45" t="n">
        <f aca="false">(D54-C54)*cout_contenant*D15</f>
        <v>17600</v>
      </c>
      <c r="E55" s="45" t="n">
        <f aca="false">(E54-D54)*cout_contenant*E15</f>
        <v>0</v>
      </c>
      <c r="F55" s="45" t="n">
        <f aca="false">(F54-E54)*cout_contenant*F15</f>
        <v>0</v>
      </c>
      <c r="G55" s="45" t="n">
        <f aca="false">(G54-F54)*cout_contenant*G15</f>
        <v>0</v>
      </c>
      <c r="H55" s="45" t="n">
        <f aca="false">(H54-G54)*cout_contenant*H15</f>
        <v>0</v>
      </c>
      <c r="I55" s="45" t="n">
        <f aca="false">(I54-H54)*cout_contenant*I15</f>
        <v>0</v>
      </c>
      <c r="J55" s="45" t="n">
        <f aca="false">(J54-I54)*cout_contenant*J15</f>
        <v>0</v>
      </c>
      <c r="K55" s="45" t="n">
        <f aca="false">(K54-J54)*cout_contenant*K15</f>
        <v>0</v>
      </c>
      <c r="L55" s="45" t="n">
        <f aca="false">(L54-K54)*cout_contenant*L15</f>
        <v>0</v>
      </c>
      <c r="M55" s="45" t="n">
        <f aca="false">(M54-L54)*cout_contenant*M15</f>
        <v>0</v>
      </c>
      <c r="N55" s="45" t="n">
        <f aca="false">(N54-M54)*cout_contenant*N15</f>
        <v>0</v>
      </c>
      <c r="O55" s="45" t="n">
        <f aca="false">(O54-N54)*cout_contenant*O15</f>
        <v>0</v>
      </c>
      <c r="P55" s="45" t="n">
        <f aca="false">(P54-O54)*cout_contenant*P15</f>
        <v>0</v>
      </c>
      <c r="Q55" s="45" t="n">
        <f aca="false">(Q54-P54)*cout_contenant*Q15</f>
        <v>744.310747617118</v>
      </c>
      <c r="R55" s="45" t="n">
        <f aca="false">(R54-Q54)*cout_contenant*R15</f>
        <v>3229.35381308265</v>
      </c>
      <c r="S55" s="45" t="n">
        <f aca="false">(S54-R54)*cout_contenant*S15</f>
        <v>2682.95261417572</v>
      </c>
      <c r="T55" s="45" t="n">
        <f aca="false">(T54-S54)*cout_contenant*T15</f>
        <v>2988.02605742538</v>
      </c>
      <c r="U55" s="45" t="n">
        <f aca="false">(U54-T54)*cout_contenant*U15</f>
        <v>3070.83266585841</v>
      </c>
      <c r="V55" s="45" t="n">
        <f aca="false">(V54-U54)*cout_contenant*V15</f>
        <v>1322.70483814248</v>
      </c>
      <c r="W55" s="45" t="n">
        <f aca="false">(W54-V54)*cout_contenant*W15</f>
        <v>0</v>
      </c>
      <c r="X55" s="45" t="n">
        <f aca="false">(X54-W54)*cout_contenant*X15</f>
        <v>4219.55341884245</v>
      </c>
      <c r="Y55" s="45" t="n">
        <f aca="false">(Y54-X54)*cout_contenant*Y15</f>
        <v>1318.00259933443</v>
      </c>
      <c r="Z55" s="45" t="n">
        <f aca="false">(Z54-Y54)*cout_contenant*Z15</f>
        <v>817.209206093267</v>
      </c>
      <c r="AA55" s="45" t="n">
        <f aca="false">(AA54-Z54)*cout_contenant*AA15</f>
        <v>2676.38490161576</v>
      </c>
      <c r="AB55" s="45" t="n">
        <f aca="false">(AB54-AA54)*cout_contenant*AB15</f>
        <v>0</v>
      </c>
      <c r="AC55" s="45" t="n">
        <f aca="false">(AC54-AB54)*cout_contenant*AC15</f>
        <v>1737.02474893136</v>
      </c>
      <c r="AD55" s="45" t="n">
        <f aca="false">(AD54-AC54)*cout_contenant*AD15</f>
        <v>4836.95863036935</v>
      </c>
      <c r="AE55" s="45" t="n">
        <f aca="false">(AE54-AD54)*cout_contenant*AE15</f>
        <v>3510.6359948565</v>
      </c>
      <c r="AF55" s="45" t="n">
        <f aca="false">(AF54-AE54)*cout_contenant*AF15</f>
        <v>4091.99980141401</v>
      </c>
      <c r="AG55" s="45" t="n">
        <f aca="false">(AG54-AF54)*cout_contenant*AG15</f>
        <v>4185.79649804003</v>
      </c>
      <c r="AH55" s="45" t="n">
        <f aca="false">(AH54-AG54)*cout_contenant*AH15</f>
        <v>790.851044661852</v>
      </c>
      <c r="AI55" s="45" t="n">
        <f aca="false">(AI54-AH54)*cout_contenant*AI15</f>
        <v>0</v>
      </c>
      <c r="AJ55" s="45" t="n">
        <f aca="false">(AJ54-AI54)*cout_contenant*AJ15</f>
        <v>4779.57230001092</v>
      </c>
      <c r="AK55" s="45" t="n">
        <f aca="false">(AK54-AJ54)*cout_contenant*AK15</f>
        <v>1021.32575888832</v>
      </c>
      <c r="AL55" s="45" t="n">
        <f aca="false">(AL54-AK54)*cout_contenant*AL15</f>
        <v>218.266062106608</v>
      </c>
      <c r="AM55" s="45" t="n">
        <f aca="false">(AM54-AL54)*cout_contenant*AM15</f>
        <v>3503.19661587253</v>
      </c>
      <c r="AO55" s="45" t="n">
        <f aca="false">SUMIF($D$4:$AM$4,AO$4,$D55:$AM55)</f>
        <v>17600</v>
      </c>
      <c r="AP55" s="45" t="n">
        <f aca="false">SUMIF($D$4:$AM$4,AP$4,$D55:$AM55)</f>
        <v>23069.3308621876</v>
      </c>
      <c r="AQ55" s="45" t="n">
        <f aca="false">SUMIF($D$4:$AM$4,AQ$4,$D55:$AM55)</f>
        <v>28675.6274551515</v>
      </c>
    </row>
    <row r="56" customFormat="false" ht="15" hidden="false" customHeight="false" outlineLevel="0" collapsed="false">
      <c r="A56" s="11" t="s">
        <v>418</v>
      </c>
      <c r="B56" s="13" t="s">
        <v>71</v>
      </c>
      <c r="C56" s="50" t="n">
        <v>0</v>
      </c>
      <c r="D56" s="44" t="n">
        <f aca="false">D51+D52+D55</f>
        <v>237600</v>
      </c>
      <c r="E56" s="44" t="n">
        <f aca="false">E51+E52+E55</f>
        <v>0</v>
      </c>
      <c r="F56" s="44" t="n">
        <f aca="false">F51+F52+F55</f>
        <v>0</v>
      </c>
      <c r="G56" s="44" t="n">
        <f aca="false">G51+G52+G55</f>
        <v>0</v>
      </c>
      <c r="H56" s="44" t="n">
        <f aca="false">H51+H52+H55</f>
        <v>0</v>
      </c>
      <c r="I56" s="44" t="n">
        <f aca="false">I51+I52+I55</f>
        <v>0</v>
      </c>
      <c r="J56" s="44" t="n">
        <f aca="false">J51+J52+J55</f>
        <v>0</v>
      </c>
      <c r="K56" s="44" t="n">
        <f aca="false">K51+K52+K55</f>
        <v>0</v>
      </c>
      <c r="L56" s="44" t="n">
        <f aca="false">L51+L52+L55</f>
        <v>0</v>
      </c>
      <c r="M56" s="44" t="n">
        <f aca="false">M51+M52+M55</f>
        <v>0</v>
      </c>
      <c r="N56" s="44" t="n">
        <f aca="false">N51+N52+N55</f>
        <v>0</v>
      </c>
      <c r="O56" s="44" t="n">
        <f aca="false">O51+O52+O55</f>
        <v>0</v>
      </c>
      <c r="P56" s="44" t="n">
        <f aca="false">P51+P52+P55</f>
        <v>0</v>
      </c>
      <c r="Q56" s="44" t="n">
        <f aca="false">Q51+Q52+Q55</f>
        <v>744.310747617118</v>
      </c>
      <c r="R56" s="44" t="n">
        <f aca="false">R51+R52+R55</f>
        <v>3229.35381308265</v>
      </c>
      <c r="S56" s="44" t="n">
        <f aca="false">S51+S52+S55</f>
        <v>2682.95261417572</v>
      </c>
      <c r="T56" s="44" t="n">
        <f aca="false">T51+T52+T55</f>
        <v>2988.02605742538</v>
      </c>
      <c r="U56" s="44" t="n">
        <f aca="false">U51+U52+U55</f>
        <v>3070.83266585841</v>
      </c>
      <c r="V56" s="44" t="n">
        <f aca="false">V51+V52+V55</f>
        <v>1322.70483814248</v>
      </c>
      <c r="W56" s="44" t="n">
        <f aca="false">W51+W52+W55</f>
        <v>0</v>
      </c>
      <c r="X56" s="44" t="n">
        <f aca="false">X51+X52+X55</f>
        <v>4219.55341884245</v>
      </c>
      <c r="Y56" s="44" t="n">
        <f aca="false">Y51+Y52+Y55</f>
        <v>1318.00259933443</v>
      </c>
      <c r="Z56" s="44" t="n">
        <f aca="false">Z51+Z52+Z55</f>
        <v>817.209206093267</v>
      </c>
      <c r="AA56" s="44" t="n">
        <f aca="false">AA51+AA52+AA55</f>
        <v>2676.38490161576</v>
      </c>
      <c r="AB56" s="44" t="n">
        <f aca="false">AB51+AB52+AB55</f>
        <v>0</v>
      </c>
      <c r="AC56" s="44" t="n">
        <f aca="false">AC51+AC52+AC55</f>
        <v>1737.02474893136</v>
      </c>
      <c r="AD56" s="44" t="n">
        <f aca="false">AD51+AD52+AD55</f>
        <v>4836.95863036935</v>
      </c>
      <c r="AE56" s="44" t="n">
        <f aca="false">AE51+AE52+AE55</f>
        <v>3510.6359948565</v>
      </c>
      <c r="AF56" s="44" t="n">
        <f aca="false">AF51+AF52+AF55</f>
        <v>4091.99980141401</v>
      </c>
      <c r="AG56" s="44" t="n">
        <f aca="false">AG51+AG52+AG55</f>
        <v>4185.79649804003</v>
      </c>
      <c r="AH56" s="44" t="n">
        <f aca="false">AH51+AH52+AH55</f>
        <v>790.851044661852</v>
      </c>
      <c r="AI56" s="44" t="n">
        <f aca="false">AI51+AI52+AI55</f>
        <v>0</v>
      </c>
      <c r="AJ56" s="44" t="n">
        <f aca="false">AJ51+AJ52+AJ55</f>
        <v>4779.57230001092</v>
      </c>
      <c r="AK56" s="44" t="n">
        <f aca="false">AK51+AK52+AK55</f>
        <v>1021.32575888832</v>
      </c>
      <c r="AL56" s="44" t="n">
        <f aca="false">AL51+AL52+AL55</f>
        <v>218.266062106608</v>
      </c>
      <c r="AM56" s="44" t="n">
        <f aca="false">AM51+AM52+AM55</f>
        <v>3503.19661587253</v>
      </c>
      <c r="AO56" s="44" t="n">
        <f aca="false">SUMIF($D$4:$AM$4,AO$4,$D56:$AM56)</f>
        <v>237600</v>
      </c>
      <c r="AP56" s="44" t="n">
        <f aca="false">SUMIF($D$4:$AM$4,AP$4,$D56:$AM56)</f>
        <v>23069.3308621876</v>
      </c>
      <c r="AQ56" s="44" t="n">
        <f aca="false">SUMIF($D$4:$AM$4,AQ$4,$D56:$AM56)</f>
        <v>28675.6274551515</v>
      </c>
    </row>
    <row r="57" customFormat="false" ht="15" hidden="false" customHeight="false" outlineLevel="0" collapsed="false">
      <c r="A57" s="10" t="s">
        <v>419</v>
      </c>
      <c r="B57" s="13" t="s">
        <v>161</v>
      </c>
      <c r="C57" s="50" t="n">
        <v>0</v>
      </c>
      <c r="D57" s="45" t="n">
        <f aca="false">SUMPRODUCT($D51:D51*((D$6-$D$6:D$6)&lt;duree_ligne))/duree_ligne+SUMPRODUCT($D52:D52*((D$6-$D$6:D$6)&lt;duree_amenagement))/duree_amenagement</f>
        <v>2369.04761904762</v>
      </c>
      <c r="E57" s="45" t="n">
        <f aca="false">SUMPRODUCT($D51:E51*((E$6-$D$6:E$6)&lt;duree_ligne))/duree_ligne+SUMPRODUCT($D52:E52*((E$6-$D$6:E$6)&lt;duree_amenagement))/duree_amenagement</f>
        <v>2369.04761904762</v>
      </c>
      <c r="F57" s="45" t="n">
        <f aca="false">SUMPRODUCT($D51:F51*((F$6-$D$6:F$6)&lt;duree_ligne))/duree_ligne+SUMPRODUCT($D52:F52*((F$6-$D$6:F$6)&lt;duree_amenagement))/duree_amenagement</f>
        <v>2369.04761904762</v>
      </c>
      <c r="G57" s="45" t="n">
        <f aca="false">SUMPRODUCT($D51:G51*((G$6-$D$6:G$6)&lt;duree_ligne))/duree_ligne+SUMPRODUCT($D52:G52*((G$6-$D$6:G$6)&lt;duree_amenagement))/duree_amenagement</f>
        <v>2369.04761904762</v>
      </c>
      <c r="H57" s="45" t="n">
        <f aca="false">SUMPRODUCT($D51:H51*((H$6-$D$6:H$6)&lt;duree_ligne))/duree_ligne+SUMPRODUCT($D52:H52*((H$6-$D$6:H$6)&lt;duree_amenagement))/duree_amenagement</f>
        <v>2369.04761904762</v>
      </c>
      <c r="I57" s="45" t="n">
        <f aca="false">SUMPRODUCT($D51:I51*((I$6-$D$6:I$6)&lt;duree_ligne))/duree_ligne+SUMPRODUCT($D52:I52*((I$6-$D$6:I$6)&lt;duree_amenagement))/duree_amenagement</f>
        <v>2369.04761904762</v>
      </c>
      <c r="J57" s="45" t="n">
        <f aca="false">SUMPRODUCT($D51:J51*((J$6-$D$6:J$6)&lt;duree_ligne))/duree_ligne+SUMPRODUCT($D52:J52*((J$6-$D$6:J$6)&lt;duree_amenagement))/duree_amenagement</f>
        <v>2369.04761904762</v>
      </c>
      <c r="K57" s="45" t="n">
        <f aca="false">SUMPRODUCT($D51:K51*((K$6-$D$6:K$6)&lt;duree_ligne))/duree_ligne+SUMPRODUCT($D52:K52*((K$6-$D$6:K$6)&lt;duree_amenagement))/duree_amenagement</f>
        <v>2369.04761904762</v>
      </c>
      <c r="L57" s="45" t="n">
        <f aca="false">SUMPRODUCT($D51:L51*((L$6-$D$6:L$6)&lt;duree_ligne))/duree_ligne+SUMPRODUCT($D52:L52*((L$6-$D$6:L$6)&lt;duree_amenagement))/duree_amenagement</f>
        <v>2369.04761904762</v>
      </c>
      <c r="M57" s="45" t="n">
        <f aca="false">SUMPRODUCT($D51:M51*((M$6-$D$6:M$6)&lt;duree_ligne))/duree_ligne+SUMPRODUCT($D52:M52*((M$6-$D$6:M$6)&lt;duree_amenagement))/duree_amenagement</f>
        <v>2369.04761904762</v>
      </c>
      <c r="N57" s="45" t="n">
        <f aca="false">SUMPRODUCT($D51:N51*((N$6-$D$6:N$6)&lt;duree_ligne))/duree_ligne+SUMPRODUCT($D52:N52*((N$6-$D$6:N$6)&lt;duree_amenagement))/duree_amenagement</f>
        <v>2369.04761904762</v>
      </c>
      <c r="O57" s="45" t="n">
        <f aca="false">SUMPRODUCT($D51:O51*((O$6-$D$6:O$6)&lt;duree_ligne))/duree_ligne+SUMPRODUCT($D52:O52*((O$6-$D$6:O$6)&lt;duree_amenagement))/duree_amenagement</f>
        <v>2369.04761904762</v>
      </c>
      <c r="P57" s="45" t="n">
        <f aca="false">SUMPRODUCT($D51:P51*((P$6-$D$6:P$6)&lt;duree_ligne))/duree_ligne+SUMPRODUCT($D52:P52*((P$6-$D$6:P$6)&lt;duree_amenagement))/duree_amenagement</f>
        <v>2369.04761904762</v>
      </c>
      <c r="Q57" s="45" t="n">
        <f aca="false">SUMPRODUCT($D51:Q51*((Q$6-$D$6:Q$6)&lt;duree_ligne))/duree_ligne+SUMPRODUCT($D52:Q52*((Q$6-$D$6:Q$6)&lt;duree_amenagement))/duree_amenagement</f>
        <v>2369.04761904762</v>
      </c>
      <c r="R57" s="45" t="n">
        <f aca="false">SUMPRODUCT($D51:R51*((R$6-$D$6:R$6)&lt;duree_ligne))/duree_ligne+SUMPRODUCT($D52:R52*((R$6-$D$6:R$6)&lt;duree_amenagement))/duree_amenagement</f>
        <v>2369.04761904762</v>
      </c>
      <c r="S57" s="45" t="n">
        <f aca="false">SUMPRODUCT($D51:S51*((S$6-$D$6:S$6)&lt;duree_ligne))/duree_ligne+SUMPRODUCT($D52:S52*((S$6-$D$6:S$6)&lt;duree_amenagement))/duree_amenagement</f>
        <v>2369.04761904762</v>
      </c>
      <c r="T57" s="45" t="n">
        <f aca="false">SUMPRODUCT($D51:T51*((T$6-$D$6:T$6)&lt;duree_ligne))/duree_ligne+SUMPRODUCT($D52:T52*((T$6-$D$6:T$6)&lt;duree_amenagement))/duree_amenagement</f>
        <v>2369.04761904762</v>
      </c>
      <c r="U57" s="45" t="n">
        <f aca="false">SUMPRODUCT($D51:U51*((U$6-$D$6:U$6)&lt;duree_ligne))/duree_ligne+SUMPRODUCT($D52:U52*((U$6-$D$6:U$6)&lt;duree_amenagement))/duree_amenagement</f>
        <v>2369.04761904762</v>
      </c>
      <c r="V57" s="45" t="n">
        <f aca="false">SUMPRODUCT($D51:V51*((V$6-$D$6:V$6)&lt;duree_ligne))/duree_ligne+SUMPRODUCT($D52:V52*((V$6-$D$6:V$6)&lt;duree_amenagement))/duree_amenagement</f>
        <v>2369.04761904762</v>
      </c>
      <c r="W57" s="45" t="n">
        <f aca="false">SUMPRODUCT($D51:W51*((W$6-$D$6:W$6)&lt;duree_ligne))/duree_ligne+SUMPRODUCT($D52:W52*((W$6-$D$6:W$6)&lt;duree_amenagement))/duree_amenagement</f>
        <v>2369.04761904762</v>
      </c>
      <c r="X57" s="45" t="n">
        <f aca="false">SUMPRODUCT($D51:X51*((X$6-$D$6:X$6)&lt;duree_ligne))/duree_ligne+SUMPRODUCT($D52:X52*((X$6-$D$6:X$6)&lt;duree_amenagement))/duree_amenagement</f>
        <v>2369.04761904762</v>
      </c>
      <c r="Y57" s="45" t="n">
        <f aca="false">SUMPRODUCT($D51:Y51*((Y$6-$D$6:Y$6)&lt;duree_ligne))/duree_ligne+SUMPRODUCT($D52:Y52*((Y$6-$D$6:Y$6)&lt;duree_amenagement))/duree_amenagement</f>
        <v>2369.04761904762</v>
      </c>
      <c r="Z57" s="45" t="n">
        <f aca="false">SUMPRODUCT($D51:Z51*((Z$6-$D$6:Z$6)&lt;duree_ligne))/duree_ligne+SUMPRODUCT($D52:Z52*((Z$6-$D$6:Z$6)&lt;duree_amenagement))/duree_amenagement</f>
        <v>2369.04761904762</v>
      </c>
      <c r="AA57" s="45" t="n">
        <f aca="false">SUMPRODUCT($D51:AA51*((AA$6-$D$6:AA$6)&lt;duree_ligne))/duree_ligne+SUMPRODUCT($D52:AA52*((AA$6-$D$6:AA$6)&lt;duree_amenagement))/duree_amenagement</f>
        <v>2369.04761904762</v>
      </c>
      <c r="AB57" s="45" t="n">
        <f aca="false">SUMPRODUCT($D51:AB51*((AB$6-$D$6:AB$6)&lt;duree_ligne))/duree_ligne+SUMPRODUCT($D52:AB52*((AB$6-$D$6:AB$6)&lt;duree_amenagement))/duree_amenagement</f>
        <v>2369.04761904762</v>
      </c>
      <c r="AC57" s="45" t="n">
        <f aca="false">SUMPRODUCT($D51:AC51*((AC$6-$D$6:AC$6)&lt;duree_ligne))/duree_ligne+SUMPRODUCT($D52:AC52*((AC$6-$D$6:AC$6)&lt;duree_amenagement))/duree_amenagement</f>
        <v>2369.04761904762</v>
      </c>
      <c r="AD57" s="45" t="n">
        <f aca="false">SUMPRODUCT($D51:AD51*((AD$6-$D$6:AD$6)&lt;duree_ligne))/duree_ligne+SUMPRODUCT($D52:AD52*((AD$6-$D$6:AD$6)&lt;duree_amenagement))/duree_amenagement</f>
        <v>2369.04761904762</v>
      </c>
      <c r="AE57" s="45" t="n">
        <f aca="false">SUMPRODUCT($D51:AE51*((AE$6-$D$6:AE$6)&lt;duree_ligne))/duree_ligne+SUMPRODUCT($D52:AE52*((AE$6-$D$6:AE$6)&lt;duree_amenagement))/duree_amenagement</f>
        <v>2369.04761904762</v>
      </c>
      <c r="AF57" s="45" t="n">
        <f aca="false">SUMPRODUCT($D51:AF51*((AF$6-$D$6:AF$6)&lt;duree_ligne))/duree_ligne+SUMPRODUCT($D52:AF52*((AF$6-$D$6:AF$6)&lt;duree_amenagement))/duree_amenagement</f>
        <v>2369.04761904762</v>
      </c>
      <c r="AG57" s="45" t="n">
        <f aca="false">SUMPRODUCT($D51:AG51*((AG$6-$D$6:AG$6)&lt;duree_ligne))/duree_ligne+SUMPRODUCT($D52:AG52*((AG$6-$D$6:AG$6)&lt;duree_amenagement))/duree_amenagement</f>
        <v>2369.04761904762</v>
      </c>
      <c r="AH57" s="45" t="n">
        <f aca="false">SUMPRODUCT($D51:AH51*((AH$6-$D$6:AH$6)&lt;duree_ligne))/duree_ligne+SUMPRODUCT($D52:AH52*((AH$6-$D$6:AH$6)&lt;duree_amenagement))/duree_amenagement</f>
        <v>2369.04761904762</v>
      </c>
      <c r="AI57" s="45" t="n">
        <f aca="false">SUMPRODUCT($D51:AI51*((AI$6-$D$6:AI$6)&lt;duree_ligne))/duree_ligne+SUMPRODUCT($D52:AI52*((AI$6-$D$6:AI$6)&lt;duree_amenagement))/duree_amenagement</f>
        <v>2369.04761904762</v>
      </c>
      <c r="AJ57" s="45" t="n">
        <f aca="false">SUMPRODUCT($D51:AJ51*((AJ$6-$D$6:AJ$6)&lt;duree_ligne))/duree_ligne+SUMPRODUCT($D52:AJ52*((AJ$6-$D$6:AJ$6)&lt;duree_amenagement))/duree_amenagement</f>
        <v>2369.04761904762</v>
      </c>
      <c r="AK57" s="45" t="n">
        <f aca="false">SUMPRODUCT($D51:AK51*((AK$6-$D$6:AK$6)&lt;duree_ligne))/duree_ligne+SUMPRODUCT($D52:AK52*((AK$6-$D$6:AK$6)&lt;duree_amenagement))/duree_amenagement</f>
        <v>2369.04761904762</v>
      </c>
      <c r="AL57" s="45" t="n">
        <f aca="false">SUMPRODUCT($D51:AL51*((AL$6-$D$6:AL$6)&lt;duree_ligne))/duree_ligne+SUMPRODUCT($D52:AL52*((AL$6-$D$6:AL$6)&lt;duree_amenagement))/duree_amenagement</f>
        <v>2369.04761904762</v>
      </c>
      <c r="AM57" s="45" t="n">
        <f aca="false">SUMPRODUCT($D51:AM51*((AM$6-$D$6:AM$6)&lt;duree_ligne))/duree_ligne+SUMPRODUCT($D52:AM52*((AM$6-$D$6:AM$6)&lt;duree_amenagement))/duree_amenagement</f>
        <v>2369.04761904762</v>
      </c>
      <c r="AO57" s="45" t="n">
        <f aca="false">SUMIF($D$4:$AM$4,AO$4,$D57:$AM57)</f>
        <v>28428.5714285714</v>
      </c>
      <c r="AP57" s="45" t="n">
        <f aca="false">SUMIF($D$4:$AM$4,AP$4,$D57:$AM57)</f>
        <v>28428.5714285714</v>
      </c>
      <c r="AQ57" s="45" t="n">
        <f aca="false">SUMIF($D$4:$AM$4,AQ$4,$D57:$AM57)</f>
        <v>28428.5714285714</v>
      </c>
    </row>
    <row r="58" customFormat="false" ht="15" hidden="false" customHeight="false" outlineLevel="0" collapsed="false">
      <c r="A58" s="10" t="s">
        <v>420</v>
      </c>
      <c r="B58" s="13" t="s">
        <v>66</v>
      </c>
      <c r="C58" s="59" t="n">
        <v>0</v>
      </c>
      <c r="D58" s="60" t="n">
        <f aca="false">IF(D54=0,0,MIN(1,D13*taux_perte_p/D54))</f>
        <v>0.004275</v>
      </c>
      <c r="E58" s="60" t="n">
        <f aca="false">IF(E54=0,0,MIN(1,E13*taux_perte_p/E54))</f>
        <v>0.0127395</v>
      </c>
      <c r="F58" s="60" t="n">
        <f aca="false">IF(F54=0,0,MIN(1,F13*taux_perte_p/F54))</f>
        <v>0.0221418</v>
      </c>
      <c r="G58" s="60" t="n">
        <f aca="false">IF(G54=0,0,MIN(1,G13*taux_perte_p/G54))</f>
        <v>0.03131294328</v>
      </c>
      <c r="H58" s="60" t="n">
        <f aca="false">IF(H54=0,0,MIN(1,H13*taux_perte_p/H54))</f>
        <v>0.041039233956</v>
      </c>
      <c r="I58" s="60" t="n">
        <f aca="false">IF(I54=0,0,MIN(1,I13*taux_perte_p/I54))</f>
        <v>0.051087547827648</v>
      </c>
      <c r="J58" s="60" t="n">
        <f aca="false">IF(J54=0,0,MIN(1,J13*taux_perte_p/J54))</f>
        <v>0.0581250802913424</v>
      </c>
      <c r="K58" s="60" t="n">
        <f aca="false">IF(K54=0,0,MIN(1,K13*taux_perte_p/K54))</f>
        <v>0.050600059950869</v>
      </c>
      <c r="L58" s="60" t="n">
        <f aca="false">IF(L54=0,0,MIN(1,L13*taux_perte_p/L54))</f>
        <v>0.0745343271118052</v>
      </c>
      <c r="M58" s="60" t="n">
        <f aca="false">IF(M54=0,0,MIN(1,M13*taux_perte_p/M54))</f>
        <v>0.0809223331301488</v>
      </c>
      <c r="N58" s="60" t="n">
        <f aca="false">IF(N54=0,0,MIN(1,N13*taux_perte_p/N54))</f>
        <v>0.0859940645315979</v>
      </c>
      <c r="O58" s="60" t="n">
        <f aca="false">IF(O54=0,0,MIN(1,O13*taux_perte_p/O54))</f>
        <v>0.0951396669057852</v>
      </c>
      <c r="P58" s="60" t="n">
        <f aca="false">IF(P54=0,0,MIN(1,P13*taux_perte_p/P54))</f>
        <v>0.0985945145973392</v>
      </c>
      <c r="Q58" s="60" t="n">
        <f aca="false">IF(Q54=0,0,MIN(1,Q13*taux_perte_p/Q54))</f>
        <v>0.107142857142857</v>
      </c>
      <c r="R58" s="60" t="n">
        <f aca="false">IF(R54=0,0,MIN(1,R13*taux_perte_p/R54))</f>
        <v>0.107142857142857</v>
      </c>
      <c r="S58" s="60" t="n">
        <f aca="false">IF(S54=0,0,MIN(1,S13*taux_perte_p/S54))</f>
        <v>0.107142857142857</v>
      </c>
      <c r="T58" s="60" t="n">
        <f aca="false">IF(T54=0,0,MIN(1,T13*taux_perte_p/T54))</f>
        <v>0.107142857142857</v>
      </c>
      <c r="U58" s="60" t="n">
        <f aca="false">IF(U54=0,0,MIN(1,U13*taux_perte_p/U54))</f>
        <v>0.107142857142857</v>
      </c>
      <c r="V58" s="60" t="n">
        <f aca="false">IF(V54=0,0,MIN(1,V13*taux_perte_p/V54))</f>
        <v>0.107142857142857</v>
      </c>
      <c r="W58" s="60" t="n">
        <f aca="false">IF(W54=0,0,MIN(1,W13*taux_perte_p/W54))</f>
        <v>0.0870707696797511</v>
      </c>
      <c r="X58" s="60" t="n">
        <f aca="false">IF(X54=0,0,MIN(1,X13*taux_perte_p/X54))</f>
        <v>0.107142857142857</v>
      </c>
      <c r="Y58" s="60" t="n">
        <f aca="false">IF(Y54=0,0,MIN(1,Y13*taux_perte_p/Y54))</f>
        <v>0.107142857142857</v>
      </c>
      <c r="Z58" s="60" t="n">
        <f aca="false">IF(Z54=0,0,MIN(1,Z13*taux_perte_p/Z54))</f>
        <v>0.107142857142857</v>
      </c>
      <c r="AA58" s="60" t="n">
        <f aca="false">IF(AA54=0,0,MIN(1,AA13*taux_perte_p/AA54))</f>
        <v>0.107142857142857</v>
      </c>
      <c r="AB58" s="60" t="n">
        <f aca="false">IF(AB54=0,0,MIN(1,AB13*taux_perte_p/AB54))</f>
        <v>0.105277521855257</v>
      </c>
      <c r="AC58" s="60" t="n">
        <f aca="false">IF(AC54=0,0,MIN(1,AC13*taux_perte_p/AC54))</f>
        <v>0.107142857142857</v>
      </c>
      <c r="AD58" s="60" t="n">
        <f aca="false">IF(AD54=0,0,MIN(1,AD13*taux_perte_p/AD54))</f>
        <v>0.107142857142857</v>
      </c>
      <c r="AE58" s="60" t="n">
        <f aca="false">IF(AE54=0,0,MIN(1,AE13*taux_perte_p/AE54))</f>
        <v>0.107142857142857</v>
      </c>
      <c r="AF58" s="60" t="n">
        <f aca="false">IF(AF54=0,0,MIN(1,AF13*taux_perte_p/AF54))</f>
        <v>0.107142857142857</v>
      </c>
      <c r="AG58" s="60" t="n">
        <f aca="false">IF(AG54=0,0,MIN(1,AG13*taux_perte_p/AG54))</f>
        <v>0.107142857142857</v>
      </c>
      <c r="AH58" s="60" t="n">
        <f aca="false">IF(AH54=0,0,MIN(1,AH13*taux_perte_p/AH54))</f>
        <v>0.107142857142857</v>
      </c>
      <c r="AI58" s="60" t="n">
        <f aca="false">IF(AI54=0,0,MIN(1,AI13*taux_perte_p/AI54))</f>
        <v>0.0848633286387181</v>
      </c>
      <c r="AJ58" s="60" t="n">
        <f aca="false">IF(AJ54=0,0,MIN(1,AJ13*taux_perte_p/AJ54))</f>
        <v>0.107142857142857</v>
      </c>
      <c r="AK58" s="60" t="n">
        <f aca="false">IF(AK54=0,0,MIN(1,AK13*taux_perte_p/AK54))</f>
        <v>0.107142857142857</v>
      </c>
      <c r="AL58" s="60" t="n">
        <f aca="false">IF(AL54=0,0,MIN(1,AL13*taux_perte_p/AL54))</f>
        <v>0.107142857142857</v>
      </c>
      <c r="AM58" s="60" t="n">
        <f aca="false">IF(AM54=0,0,MIN(1,AM13*taux_perte_p/AM54))</f>
        <v>0.107142857142857</v>
      </c>
    </row>
    <row r="59" customFormat="false" ht="15" hidden="false" customHeight="false" outlineLevel="0" collapsed="false">
      <c r="A59" s="10" t="s">
        <v>421</v>
      </c>
      <c r="B59" s="13" t="s">
        <v>390</v>
      </c>
      <c r="C59" s="56" t="n">
        <v>1</v>
      </c>
      <c r="D59" s="57" t="n">
        <f aca="false">C59*(1-D58)</f>
        <v>0.995725</v>
      </c>
      <c r="E59" s="57" t="n">
        <f aca="false">D59*(1-E58)</f>
        <v>0.9830399613625</v>
      </c>
      <c r="F59" s="57" t="n">
        <f aca="false">E59*(1-F58)</f>
        <v>0.961273687146004</v>
      </c>
      <c r="G59" s="57" t="n">
        <f aca="false">F59*(1-G58)</f>
        <v>0.931173378703844</v>
      </c>
      <c r="H59" s="57" t="n">
        <f aca="false">G59*(1-H58)</f>
        <v>0.892958736561618</v>
      </c>
      <c r="I59" s="57" t="n">
        <f aca="false">H59*(1-I58)</f>
        <v>0.847339664399411</v>
      </c>
      <c r="J59" s="57" t="n">
        <f aca="false">I59*(1-J58)</f>
        <v>0.798087978372156</v>
      </c>
      <c r="K59" s="57" t="n">
        <f aca="false">J59*(1-K58)</f>
        <v>0.757704678820457</v>
      </c>
      <c r="L59" s="57" t="n">
        <f aca="false">K59*(1-L58)</f>
        <v>0.701229670435107</v>
      </c>
      <c r="M59" s="57" t="n">
        <f aca="false">L59*(1-M58)</f>
        <v>0.644484529443413</v>
      </c>
      <c r="N59" s="57" t="n">
        <f aca="false">M59*(1-N58)</f>
        <v>0.58906268522884</v>
      </c>
      <c r="O59" s="57" t="n">
        <f aca="false">N59*(1-O58)</f>
        <v>0.533019457569541</v>
      </c>
      <c r="P59" s="57" t="n">
        <f aca="false">O59*(1-P58)</f>
        <v>0.480466662879535</v>
      </c>
      <c r="Q59" s="57" t="n">
        <f aca="false">P59*(1-Q58)</f>
        <v>0.428988091856727</v>
      </c>
      <c r="R59" s="57" t="n">
        <f aca="false">Q59*(1-R58)</f>
        <v>0.383025082014935</v>
      </c>
      <c r="S59" s="57" t="n">
        <f aca="false">R59*(1-S58)</f>
        <v>0.341986680370478</v>
      </c>
      <c r="T59" s="57" t="n">
        <f aca="false">S59*(1-T58)</f>
        <v>0.305345250330784</v>
      </c>
      <c r="U59" s="57" t="n">
        <f aca="false">T59*(1-U58)</f>
        <v>0.272629687795343</v>
      </c>
      <c r="V59" s="57" t="n">
        <f aca="false">U59*(1-V58)</f>
        <v>0.243419364102985</v>
      </c>
      <c r="W59" s="57" t="n">
        <f aca="false">V59*(1-W58)</f>
        <v>0.222224652715582</v>
      </c>
      <c r="X59" s="57" t="n">
        <f aca="false">W59*(1-X58)</f>
        <v>0.198414868496055</v>
      </c>
      <c r="Y59" s="57" t="n">
        <f aca="false">X59*(1-Y58)</f>
        <v>0.177156132585764</v>
      </c>
      <c r="Z59" s="57" t="n">
        <f aca="false">Y59*(1-Z58)</f>
        <v>0.158175118380146</v>
      </c>
      <c r="AA59" s="57" t="n">
        <f aca="false">Z59*(1-AA58)</f>
        <v>0.141227784267988</v>
      </c>
      <c r="AB59" s="57" t="n">
        <f aca="false">AA59*(1-AB58)</f>
        <v>0.126359673123145</v>
      </c>
      <c r="AC59" s="57" t="n">
        <f aca="false">AB59*(1-AC58)</f>
        <v>0.112821136717094</v>
      </c>
      <c r="AD59" s="57" t="n">
        <f aca="false">AC59*(1-AD58)</f>
        <v>0.100733157783119</v>
      </c>
      <c r="AE59" s="57" t="n">
        <f aca="false">AD59*(1-AE58)</f>
        <v>0.0899403194492138</v>
      </c>
      <c r="AF59" s="57" t="n">
        <f aca="false">AE59*(1-AF58)</f>
        <v>0.0803038566510837</v>
      </c>
      <c r="AG59" s="57" t="n">
        <f aca="false">AF59*(1-AG58)</f>
        <v>0.0716998720098962</v>
      </c>
      <c r="AH59" s="57" t="n">
        <f aca="false">AG59*(1-AH58)</f>
        <v>0.0640177428659787</v>
      </c>
      <c r="AI59" s="57" t="n">
        <f aca="false">AH59*(1-AI58)</f>
        <v>0.0585849841144342</v>
      </c>
      <c r="AJ59" s="57" t="n">
        <f aca="false">AI59*(1-AJ58)</f>
        <v>0.0523080215307448</v>
      </c>
      <c r="AK59" s="57" t="n">
        <f aca="false">AJ59*(1-AK58)</f>
        <v>0.0467035906524507</v>
      </c>
      <c r="AL59" s="57" t="n">
        <f aca="false">AK59*(1-AL58)</f>
        <v>0.0416996345111167</v>
      </c>
      <c r="AM59" s="57" t="n">
        <f aca="false">AL59*(1-AM58)</f>
        <v>0.0372318165277828</v>
      </c>
    </row>
    <row r="60" customFormat="false" ht="15" hidden="false" customHeight="false" outlineLevel="0" collapsed="false">
      <c r="A60" s="10" t="s">
        <v>422</v>
      </c>
      <c r="B60" s="13" t="s">
        <v>161</v>
      </c>
      <c r="C60" s="50" t="n">
        <v>0</v>
      </c>
      <c r="D60" s="45" t="n">
        <f aca="false">IF(D59=0,0,D55/D59)</f>
        <v>17675.5630319616</v>
      </c>
      <c r="E60" s="45" t="n">
        <f aca="false">IF(E59=0,0,E55/E59)</f>
        <v>0</v>
      </c>
      <c r="F60" s="45" t="n">
        <f aca="false">IF(F59=0,0,F55/F59)</f>
        <v>0</v>
      </c>
      <c r="G60" s="45" t="n">
        <f aca="false">IF(G59=0,0,G55/G59)</f>
        <v>0</v>
      </c>
      <c r="H60" s="45" t="n">
        <f aca="false">IF(H59=0,0,H55/H59)</f>
        <v>0</v>
      </c>
      <c r="I60" s="45" t="n">
        <f aca="false">IF(I59=0,0,I55/I59)</f>
        <v>0</v>
      </c>
      <c r="J60" s="45" t="n">
        <f aca="false">IF(J59=0,0,J55/J59)</f>
        <v>0</v>
      </c>
      <c r="K60" s="45" t="n">
        <f aca="false">IF(K59=0,0,K55/K59)</f>
        <v>0</v>
      </c>
      <c r="L60" s="45" t="n">
        <f aca="false">IF(L59=0,0,L55/L59)</f>
        <v>0</v>
      </c>
      <c r="M60" s="45" t="n">
        <f aca="false">IF(M59=0,0,M55/M59)</f>
        <v>0</v>
      </c>
      <c r="N60" s="45" t="n">
        <f aca="false">IF(N59=0,0,N55/N59)</f>
        <v>0</v>
      </c>
      <c r="O60" s="45" t="n">
        <f aca="false">IF(O59=0,0,O55/O59)</f>
        <v>0</v>
      </c>
      <c r="P60" s="45" t="n">
        <f aca="false">IF(P59=0,0,P55/P59)</f>
        <v>0</v>
      </c>
      <c r="Q60" s="45" t="n">
        <f aca="false">IF(Q59=0,0,Q55/Q59)</f>
        <v>1735.03824872067</v>
      </c>
      <c r="R60" s="45" t="n">
        <f aca="false">IF(R59=0,0,R55/R59)</f>
        <v>8431.18104980061</v>
      </c>
      <c r="S60" s="45" t="n">
        <f aca="false">IF(S59=0,0,S55/S59)</f>
        <v>7845.19622597362</v>
      </c>
      <c r="T60" s="45" t="n">
        <f aca="false">IF(T59=0,0,T55/T59)</f>
        <v>9785.7296099691</v>
      </c>
      <c r="U60" s="45" t="n">
        <f aca="false">IF(U59=0,0,U55/U59)</f>
        <v>11263.7500731894</v>
      </c>
      <c r="V60" s="45" t="n">
        <f aca="false">IF(V59=0,0,V55/V59)</f>
        <v>5433.85216298106</v>
      </c>
      <c r="W60" s="45" t="n">
        <f aca="false">IF(W59=0,0,W55/W59)</f>
        <v>0</v>
      </c>
      <c r="X60" s="45" t="n">
        <f aca="false">IF(X59=0,0,X55/X59)</f>
        <v>21266.3166365798</v>
      </c>
      <c r="Y60" s="45" t="n">
        <f aca="false">IF(Y59=0,0,Y55/Y59)</f>
        <v>7439.77970221473</v>
      </c>
      <c r="Z60" s="45" t="n">
        <f aca="false">IF(Z59=0,0,Z55/Z59)</f>
        <v>5166.48392277</v>
      </c>
      <c r="AA60" s="45" t="n">
        <f aca="false">IF(AA59=0,0,AA55/AA59)</f>
        <v>18950.8382892786</v>
      </c>
      <c r="AB60" s="45" t="n">
        <f aca="false">IF(AB59=0,0,AB55/AB59)</f>
        <v>0</v>
      </c>
      <c r="AC60" s="45" t="n">
        <f aca="false">IF(AC59=0,0,AC55/AC59)</f>
        <v>15396.2705879047</v>
      </c>
      <c r="AD60" s="45" t="n">
        <f aca="false">IF(AD59=0,0,AD55/AD59)</f>
        <v>48017.541957569</v>
      </c>
      <c r="AE60" s="45" t="n">
        <f aca="false">IF(AE59=0,0,AE55/AE59)</f>
        <v>39032.9500312575</v>
      </c>
      <c r="AF60" s="45" t="n">
        <f aca="false">IF(AF59=0,0,AF55/AF59)</f>
        <v>50956.454298248</v>
      </c>
      <c r="AG60" s="45" t="n">
        <f aca="false">IF(AG59=0,0,AG55/AG59)</f>
        <v>58379.4138079117</v>
      </c>
      <c r="AH60" s="45" t="n">
        <f aca="false">IF(AH59=0,0,AH55/AH59)</f>
        <v>12353.6227498289</v>
      </c>
      <c r="AI60" s="45" t="n">
        <f aca="false">IF(AI59=0,0,AI55/AI59)</f>
        <v>0</v>
      </c>
      <c r="AJ60" s="45" t="n">
        <f aca="false">IF(AJ59=0,0,AJ55/AJ59)</f>
        <v>91373.6012210223</v>
      </c>
      <c r="AK60" s="45" t="n">
        <f aca="false">IF(AK59=0,0,AK55/AK59)</f>
        <v>21868.2491992663</v>
      </c>
      <c r="AL60" s="45" t="n">
        <f aca="false">IF(AL59=0,0,AL55/AL59)</f>
        <v>5234.24400874353</v>
      </c>
      <c r="AM60" s="45" t="n">
        <f aca="false">IF(AM59=0,0,AM55/AM59)</f>
        <v>94091.4771982293</v>
      </c>
    </row>
    <row r="61" customFormat="false" ht="15" hidden="false" customHeight="false" outlineLevel="0" collapsed="false">
      <c r="A61" s="10" t="s">
        <v>423</v>
      </c>
      <c r="B61" s="13" t="s">
        <v>161</v>
      </c>
      <c r="C61" s="50" t="n">
        <v>0</v>
      </c>
      <c r="D61" s="45" t="n">
        <f aca="false">D59*SUMPRODUCT($D60:D60*((D$6-$D$6:D$6)+1&lt;duree_contenants)*(1-((D$6-$D$6:D$6)+1)/duree_contenants))</f>
        <v>17111.1111111111</v>
      </c>
      <c r="E61" s="45" t="n">
        <f aca="false">E59*SUMPRODUCT($D60:E60*((E$6-$D$6:E$6)+1&lt;duree_contenants)*(1-((E$6-$D$6:E$6)+1)/duree_contenants))</f>
        <v>16410.4634222222</v>
      </c>
      <c r="F61" s="45" t="n">
        <f aca="false">F59*SUMPRODUCT($D60:F60*((F$6-$D$6:F$6)+1&lt;duree_contenants)*(1-((F$6-$D$6:F$6)+1)/duree_contenants))</f>
        <v>15575.1325107724</v>
      </c>
      <c r="G61" s="45" t="n">
        <f aca="false">G59*SUMPRODUCT($D60:G60*((G$6-$D$6:G$6)+1&lt;duree_contenants)*(1-((G$6-$D$6:G$6)+1)/duree_contenants))</f>
        <v>14630.234443524</v>
      </c>
      <c r="H61" s="45" t="n">
        <f aca="false">H59*SUMPRODUCT($D60:H60*((H$6-$D$6:H$6)+1&lt;duree_contenants)*(1-((H$6-$D$6:H$6)+1)/duree_contenants))</f>
        <v>13591.3889284474</v>
      </c>
      <c r="I61" s="45" t="n">
        <f aca="false">I59*SUMPRODUCT($D60:I60*((I$6-$D$6:I$6)+1&lt;duree_contenants)*(1-((I$6-$D$6:I$6)+1)/duree_contenants))</f>
        <v>12481.0047063108</v>
      </c>
      <c r="J61" s="45" t="n">
        <f aca="false">J59*SUMPRODUCT($D60:J60*((J$6-$D$6:J$6)+1&lt;duree_contenants)*(1-((J$6-$D$6:J$6)+1)/duree_contenants))</f>
        <v>11363.6937954519</v>
      </c>
      <c r="K61" s="45" t="n">
        <f aca="false">K59*SUMPRODUCT($D60:K60*((K$6-$D$6:K$6)+1&lt;duree_contenants)*(1-((K$6-$D$6:K$6)+1)/duree_contenants))</f>
        <v>10416.6664078581</v>
      </c>
      <c r="L61" s="45" t="n">
        <f aca="false">L59*SUMPRODUCT($D60:L60*((L$6-$D$6:L$6)+1&lt;duree_contenants)*(1-((L$6-$D$6:L$6)+1)/duree_contenants))</f>
        <v>9295.97192974307</v>
      </c>
      <c r="M61" s="45" t="n">
        <f aca="false">M59*SUMPRODUCT($D60:M60*((M$6-$D$6:M$6)+1&lt;duree_contenants)*(1-((M$6-$D$6:M$6)+1)/duree_contenants))</f>
        <v>8227.28611127308</v>
      </c>
      <c r="N61" s="45" t="n">
        <f aca="false">N59*SUMPRODUCT($D60:N60*((N$6-$D$6:N$6)+1&lt;duree_contenants)*(1-((N$6-$D$6:N$6)+1)/duree_contenants))</f>
        <v>7230.56571009648</v>
      </c>
      <c r="O61" s="45" t="n">
        <f aca="false">O59*SUMPRODUCT($D60:O60*((O$6-$D$6:O$6)+1&lt;duree_contenants)*(1-((O$6-$D$6:O$6)+1)/duree_contenants))</f>
        <v>6280.94601302161</v>
      </c>
      <c r="P61" s="45" t="n">
        <f aca="false">P59*SUMPRODUCT($D60:P60*((P$6-$D$6:P$6)+1&lt;duree_contenants)*(1-((P$6-$D$6:P$6)+1)/duree_contenants))</f>
        <v>5425.77589008667</v>
      </c>
      <c r="Q61" s="45" t="n">
        <f aca="false">Q59*SUMPRODUCT($D60:Q60*((Q$6-$D$6:Q$6)+1&lt;duree_contenants)*(1-((Q$6-$D$6:Q$6)+1)/duree_contenants))</f>
        <v>5357.45026203441</v>
      </c>
      <c r="R61" s="45" t="n">
        <f aca="false">R59*SUMPRODUCT($D60:R60*((R$6-$D$6:R$6)+1&lt;duree_contenants)*(1-((R$6-$D$6:R$6)+1)/duree_contenants))</f>
        <v>7716.5665203593</v>
      </c>
      <c r="S61" s="45" t="n">
        <f aca="false">S59*SUMPRODUCT($D60:S60*((S$6-$D$6:S$6)+1&lt;duree_contenants)*(1-((S$6-$D$6:S$6)+1)/duree_contenants))</f>
        <v>9233.73105773928</v>
      </c>
      <c r="T61" s="45" t="n">
        <f aca="false">T59*SUMPRODUCT($D60:T60*((T$6-$D$6:T$6)+1&lt;duree_contenants)*(1-((T$6-$D$6:T$6)+1)/duree_contenants))</f>
        <v>10846.7378025971</v>
      </c>
      <c r="U61" s="45" t="n">
        <f aca="false">U59*SUMPRODUCT($D60:U60*((U$6-$D$6:U$6)+1&lt;duree_contenants)*(1-((U$6-$D$6:U$6)+1)/duree_contenants))</f>
        <v>12325.7521313702</v>
      </c>
      <c r="V61" s="45" t="n">
        <f aca="false">V59*SUMPRODUCT($D60:V60*((V$6-$D$6:V$6)+1&lt;duree_contenants)*(1-((V$6-$D$6:V$6)+1)/duree_contenants))</f>
        <v>11907.4668523818</v>
      </c>
      <c r="W61" s="45" t="n">
        <f aca="false">W59*SUMPRODUCT($D60:W60*((W$6-$D$6:W$6)+1&lt;duree_contenants)*(1-((W$6-$D$6:W$6)+1)/duree_contenants))</f>
        <v>10486.9030030967</v>
      </c>
      <c r="X61" s="45" t="n">
        <f aca="false">X59*SUMPRODUCT($D60:X60*((X$6-$D$6:X$6)+1&lt;duree_contenants)*(1-((X$6-$D$6:X$6)+1)/duree_contenants))</f>
        <v>13122.9966887814</v>
      </c>
      <c r="Y61" s="45" t="n">
        <f aca="false">Y59*SUMPRODUCT($D60:Y60*((Y$6-$D$6:Y$6)+1&lt;duree_contenants)*(1-((Y$6-$D$6:Y$6)+1)/duree_contenants))</f>
        <v>12587.760796337</v>
      </c>
      <c r="Z61" s="45" t="n">
        <f aca="false">Z59*SUMPRODUCT($D60:Z60*((Z$6-$D$6:Z$6)+1&lt;duree_contenants)*(1-((Z$6-$D$6:Z$6)+1)/duree_contenants))</f>
        <v>11634.2925790028</v>
      </c>
      <c r="AA61" s="45" t="n">
        <f aca="false">AA59*SUMPRODUCT($D60:AA60*((AA$6-$D$6:AA$6)+1&lt;duree_contenants)*(1-((AA$6-$D$6:AA$6)+1)/duree_contenants))</f>
        <v>12613.0264232903</v>
      </c>
      <c r="AB61" s="45" t="n">
        <f aca="false">AB59*SUMPRODUCT($D60:AB60*((AB$6-$D$6:AB$6)+1&lt;duree_contenants)*(1-((AB$6-$D$6:AB$6)+1)/duree_contenants))</f>
        <v>10881.5313138578</v>
      </c>
      <c r="AC61" s="45" t="n">
        <f aca="false">AC59*SUMPRODUCT($D60:AC60*((AC$6-$D$6:AC$6)+1&lt;duree_contenants)*(1-((AC$6-$D$6:AC$6)+1)/duree_contenants))</f>
        <v>11044.045819822</v>
      </c>
      <c r="AD61" s="45" t="n">
        <f aca="false">AD59*SUMPRODUCT($D60:AD60*((AD$6-$D$6:AD$6)+1&lt;duree_contenants)*(1-((AD$6-$D$6:AD$6)+1)/duree_contenants))</f>
        <v>14198.5039647638</v>
      </c>
      <c r="AE61" s="45" t="n">
        <f aca="false">AE59*SUMPRODUCT($D60:AE60*((AE$6-$D$6:AE$6)+1&lt;duree_contenants)*(1-((AE$6-$D$6:AE$6)+1)/duree_contenants))</f>
        <v>15644.6309201975</v>
      </c>
      <c r="AF61" s="45" t="n">
        <f aca="false">AF59*SUMPRODUCT($D60:AF60*((AF$6-$D$6:AF$6)+1&lt;duree_contenants)*(1-((AF$6-$D$6:AF$6)+1)/duree_contenants))</f>
        <v>17461.7172141151</v>
      </c>
      <c r="AG61" s="45" t="n">
        <f aca="false">AG59*SUMPRODUCT($D60:AG60*((AG$6-$D$6:AG$6)+1&lt;duree_contenants)*(1-((AG$6-$D$6:AG$6)+1)/duree_contenants))</f>
        <v>19125.7870180535</v>
      </c>
      <c r="AH61" s="45" t="n">
        <f aca="false">AH59*SUMPRODUCT($D60:AH60*((AH$6-$D$6:AH$6)+1&lt;duree_contenants)*(1-((AH$6-$D$6:AH$6)+1)/duree_contenants))</f>
        <v>17264.3817073137</v>
      </c>
      <c r="AI61" s="45" t="n">
        <f aca="false">AI59*SUMPRODUCT($D60:AI60*((AI$6-$D$6:AI$6)+1&lt;duree_contenants)*(1-((AI$6-$D$6:AI$6)+1)/duree_contenants))</f>
        <v>15247.382013441</v>
      </c>
      <c r="AJ61" s="45" t="n">
        <f aca="false">AJ59*SUMPRODUCT($D60:AJ60*((AJ$6-$D$6:AJ$6)+1&lt;duree_contenants)*(1-((AJ$6-$D$6:AJ$6)+1)/duree_contenants))</f>
        <v>17767.7842761281</v>
      </c>
      <c r="AK61" s="45" t="n">
        <f aca="false">AK59*SUMPRODUCT($D60:AK60*((AK$6-$D$6:AK$6)+1&lt;duree_contenants)*(1-((AK$6-$D$6:AK$6)+1)/duree_contenants))</f>
        <v>16298.5469486271</v>
      </c>
      <c r="AL61" s="45" t="n">
        <f aca="false">AL59*SUMPRODUCT($D60:AL60*((AL$6-$D$6:AL$6)+1&lt;duree_contenants)*(1-((AL$6-$D$6:AL$6)+1)/duree_contenants))</f>
        <v>14240.4843969014</v>
      </c>
      <c r="AM61" s="45" t="n">
        <f aca="false">AM59*SUMPRODUCT($D60:AM60*((AM$6-$D$6:AM$6)+1&lt;duree_contenants)*(1-((AM$6-$D$6:AM$6)+1)/duree_contenants))</f>
        <v>15647.3397687846</v>
      </c>
      <c r="AO61" s="45" t="n">
        <f aca="false">INDEX($D61:$AM61,(AO$4-annee_debut)*12+12)</f>
        <v>6280.94601302161</v>
      </c>
      <c r="AP61" s="45" t="n">
        <f aca="false">INDEX($D61:$AM61,(AP$4-annee_debut)*12+12)</f>
        <v>12613.0264232903</v>
      </c>
      <c r="AQ61" s="45" t="n">
        <f aca="false">INDEX($D61:$AM61,(AQ$4-annee_debut)*12+12)</f>
        <v>15647.3397687846</v>
      </c>
    </row>
    <row r="62" customFormat="false" ht="15" hidden="false" customHeight="false" outlineLevel="0" collapsed="false">
      <c r="A62" s="10" t="s">
        <v>270</v>
      </c>
      <c r="B62" s="13" t="s">
        <v>161</v>
      </c>
      <c r="C62" s="50" t="n">
        <v>0</v>
      </c>
      <c r="D62" s="45" t="n">
        <f aca="false">D58*C61</f>
        <v>0</v>
      </c>
      <c r="E62" s="45" t="n">
        <f aca="false">E58*D61</f>
        <v>217.987</v>
      </c>
      <c r="F62" s="45" t="n">
        <f aca="false">F58*E61</f>
        <v>363.35719900216</v>
      </c>
      <c r="G62" s="45" t="n">
        <f aca="false">G58*F61</f>
        <v>487.7032408883</v>
      </c>
      <c r="H62" s="45" t="n">
        <f aca="false">H58*G61</f>
        <v>600.41361415891</v>
      </c>
      <c r="I62" s="45" t="n">
        <f aca="false">I58*H61</f>
        <v>694.350731926223</v>
      </c>
      <c r="J62" s="45" t="n">
        <f aca="false">J58*I61</f>
        <v>725.45940067094</v>
      </c>
      <c r="K62" s="45" t="n">
        <f aca="false">K58*J61</f>
        <v>575.003587313184</v>
      </c>
      <c r="L62" s="45" t="n">
        <f aca="false">L58*K61</f>
        <v>776.399221457847</v>
      </c>
      <c r="M62" s="45" t="n">
        <f aca="false">M58*L61</f>
        <v>752.251737267181</v>
      </c>
      <c r="N62" s="45" t="n">
        <f aca="false">N58*M61</f>
        <v>707.497772772736</v>
      </c>
      <c r="O62" s="45" t="n">
        <f aca="false">O58*N61</f>
        <v>687.913613198972</v>
      </c>
      <c r="P62" s="45" t="n">
        <f aca="false">P58*O61</f>
        <v>619.266823365959</v>
      </c>
      <c r="Q62" s="45" t="n">
        <f aca="false">Q58*P61</f>
        <v>581.333131080714</v>
      </c>
      <c r="R62" s="45" t="n">
        <f aca="false">R58*Q61</f>
        <v>574.012528075116</v>
      </c>
      <c r="S62" s="45" t="n">
        <f aca="false">S58*R61</f>
        <v>826.77498432421</v>
      </c>
      <c r="T62" s="45" t="n">
        <f aca="false">T58*S61</f>
        <v>989.328327614923</v>
      </c>
      <c r="U62" s="45" t="n">
        <f aca="false">U58*T61</f>
        <v>1162.15047884969</v>
      </c>
      <c r="V62" s="45" t="n">
        <f aca="false">V58*U61</f>
        <v>1320.61629978967</v>
      </c>
      <c r="W62" s="45" t="n">
        <f aca="false">W58*V61</f>
        <v>1036.79230377301</v>
      </c>
      <c r="X62" s="45" t="n">
        <f aca="false">X58*W61</f>
        <v>1123.59675033178</v>
      </c>
      <c r="Y62" s="45" t="n">
        <f aca="false">Y58*X61</f>
        <v>1406.03535951229</v>
      </c>
      <c r="Z62" s="45" t="n">
        <f aca="false">Z58*Y61</f>
        <v>1348.68865675039</v>
      </c>
      <c r="AA62" s="45" t="n">
        <f aca="false">AA58*Z61</f>
        <v>1246.5313477503</v>
      </c>
      <c r="AB62" s="45" t="n">
        <f aca="false">AB58*AA61</f>
        <v>1327.86816493888</v>
      </c>
      <c r="AC62" s="45" t="n">
        <f aca="false">AC58*AB61</f>
        <v>1165.8783550562</v>
      </c>
      <c r="AD62" s="45" t="n">
        <f aca="false">AD58*AC61</f>
        <v>1183.29062355236</v>
      </c>
      <c r="AE62" s="45" t="n">
        <f aca="false">AE58*AD61</f>
        <v>1521.26828193897</v>
      </c>
      <c r="AF62" s="45" t="n">
        <f aca="false">AF58*AE61</f>
        <v>1676.21045573544</v>
      </c>
      <c r="AG62" s="45" t="n">
        <f aca="false">AG58*AF61</f>
        <v>1870.8982729409</v>
      </c>
      <c r="AH62" s="45" t="n">
        <f aca="false">AH58*AG61</f>
        <v>2049.19146622002</v>
      </c>
      <c r="AI62" s="45" t="n">
        <f aca="false">AI58*AH61</f>
        <v>1465.11289857203</v>
      </c>
      <c r="AJ62" s="45" t="n">
        <f aca="false">AJ58*AI61</f>
        <v>1633.64807286868</v>
      </c>
      <c r="AK62" s="45" t="n">
        <f aca="false">AK58*AJ61</f>
        <v>1903.69117244229</v>
      </c>
      <c r="AL62" s="45" t="n">
        <f aca="false">AL58*AK61</f>
        <v>1746.27288735291</v>
      </c>
      <c r="AM62" s="45" t="n">
        <f aca="false">AM58*AL61</f>
        <v>1525.76618538229</v>
      </c>
      <c r="AO62" s="45" t="n">
        <f aca="false">SUMIF($D$4:$AM$4,AO$4,$D62:$AM62)</f>
        <v>6588.33711865645</v>
      </c>
      <c r="AP62" s="45" t="n">
        <f aca="false">SUMIF($D$4:$AM$4,AP$4,$D62:$AM62)</f>
        <v>12235.1269912181</v>
      </c>
      <c r="AQ62" s="45" t="n">
        <f aca="false">SUMIF($D$4:$AM$4,AQ$4,$D62:$AM62)</f>
        <v>19069.096837001</v>
      </c>
    </row>
    <row r="63" customFormat="false" ht="15" hidden="false" customHeight="false" outlineLevel="0" collapsed="false">
      <c r="A63" s="10" t="s">
        <v>424</v>
      </c>
      <c r="B63" s="13" t="s">
        <v>161</v>
      </c>
      <c r="C63" s="50" t="n">
        <v>0</v>
      </c>
      <c r="D63" s="45" t="n">
        <f aca="false">C61-D62+D55-D61</f>
        <v>488.888888888891</v>
      </c>
      <c r="E63" s="45" t="n">
        <f aca="false">D61-E62+E55-E61</f>
        <v>482.660688888886</v>
      </c>
      <c r="F63" s="45" t="n">
        <f aca="false">E61-F62+F55-F61</f>
        <v>471.973712447652</v>
      </c>
      <c r="G63" s="45" t="n">
        <f aca="false">F61-G62+G55-G61</f>
        <v>457.194826360124</v>
      </c>
      <c r="H63" s="45" t="n">
        <f aca="false">G61-H62+H55-H61</f>
        <v>438.431900917658</v>
      </c>
      <c r="I63" s="45" t="n">
        <f aca="false">H61-I62+I55-I61</f>
        <v>416.033490210362</v>
      </c>
      <c r="J63" s="45" t="n">
        <f aca="false">I61-J62+J55-J61</f>
        <v>391.851510187998</v>
      </c>
      <c r="K63" s="45" t="n">
        <f aca="false">J61-K62+K55-K61</f>
        <v>372.023800280645</v>
      </c>
      <c r="L63" s="45" t="n">
        <f aca="false">K61-L62+L55-L61</f>
        <v>344.295256657151</v>
      </c>
      <c r="M63" s="45" t="n">
        <f aca="false">L61-M62+M55-M61</f>
        <v>316.434081202809</v>
      </c>
      <c r="N63" s="45" t="n">
        <f aca="false">M61-N62+N55-N61</f>
        <v>289.22262840386</v>
      </c>
      <c r="O63" s="45" t="n">
        <f aca="false">N61-O62+O55-O61</f>
        <v>261.7060838759</v>
      </c>
      <c r="P63" s="45" t="n">
        <f aca="false">O61-P62+P55-P61</f>
        <v>235.903299568987</v>
      </c>
      <c r="Q63" s="45" t="n">
        <f aca="false">P61-Q62+Q55-Q61</f>
        <v>231.303244588657</v>
      </c>
      <c r="R63" s="45" t="n">
        <f aca="false">Q61-R62+R55-R61</f>
        <v>296.225026682646</v>
      </c>
      <c r="S63" s="45" t="n">
        <f aca="false">R61-S62+S55-S61</f>
        <v>339.013092471525</v>
      </c>
      <c r="T63" s="45" t="n">
        <f aca="false">S61-T62+T55-T61</f>
        <v>385.690984952666</v>
      </c>
      <c r="U63" s="45" t="n">
        <f aca="false">T61-U62+U55-U61</f>
        <v>429.667858235547</v>
      </c>
      <c r="V63" s="45" t="n">
        <f aca="false">U61-V62+V55-V61</f>
        <v>420.373817341255</v>
      </c>
      <c r="W63" s="45" t="n">
        <f aca="false">V61-W62+W55-W61</f>
        <v>383.771545512134</v>
      </c>
      <c r="X63" s="45" t="n">
        <f aca="false">W61-X62+X55-X61</f>
        <v>459.862982825905</v>
      </c>
      <c r="Y63" s="45" t="n">
        <f aca="false">X61-Y62+Y55-Y61</f>
        <v>447.203132266546</v>
      </c>
      <c r="Z63" s="45" t="n">
        <f aca="false">Y61-Z62+Z55-Z61</f>
        <v>421.988766677083</v>
      </c>
      <c r="AA63" s="45" t="n">
        <f aca="false">Z61-AA62+AA55-AA61</f>
        <v>451.119709577997</v>
      </c>
      <c r="AB63" s="45" t="n">
        <f aca="false">AA61-AB62+AB55-AB61</f>
        <v>403.626944493559</v>
      </c>
      <c r="AC63" s="45" t="n">
        <f aca="false">AB61-AC62+AC55-AC61</f>
        <v>408.631887910995</v>
      </c>
      <c r="AD63" s="45" t="n">
        <f aca="false">AC61-AD62+AD55-AD61</f>
        <v>499.209861875235</v>
      </c>
      <c r="AE63" s="45" t="n">
        <f aca="false">AD61-AE62+AE55-AE61</f>
        <v>543.24075748382</v>
      </c>
      <c r="AF63" s="45" t="n">
        <f aca="false">AE61-AF62+AF55-AF61</f>
        <v>598.703051760942</v>
      </c>
      <c r="AG63" s="45" t="n">
        <f aca="false">AF61-AG62+AG55-AG61</f>
        <v>650.828421160692</v>
      </c>
      <c r="AH63" s="45" t="n">
        <f aca="false">AG61-AH62+AH55-AH61</f>
        <v>603.064889181696</v>
      </c>
      <c r="AI63" s="45" t="n">
        <f aca="false">AH61-AI62+AI55-AI61</f>
        <v>551.886795300596</v>
      </c>
      <c r="AJ63" s="45" t="n">
        <f aca="false">AI61-AJ62+AJ55-AJ61</f>
        <v>625.521964455205</v>
      </c>
      <c r="AK63" s="45" t="n">
        <f aca="false">AJ61-AK62+AK55-AK61</f>
        <v>586.871913946972</v>
      </c>
      <c r="AL63" s="45" t="n">
        <f aca="false">AK61-AL62+AL55-AL61</f>
        <v>530.05572647943</v>
      </c>
      <c r="AM63" s="45" t="n">
        <f aca="false">AL61-AM62+AM55-AM61</f>
        <v>570.575058607061</v>
      </c>
      <c r="AO63" s="45" t="n">
        <f aca="false">SUMIF($D$4:$AM$4,AO$4,$D63:$AM63)</f>
        <v>4730.71686832194</v>
      </c>
      <c r="AP63" s="45" t="n">
        <f aca="false">SUMIF($D$4:$AM$4,AP$4,$D63:$AM63)</f>
        <v>4502.12346070095</v>
      </c>
      <c r="AQ63" s="45" t="n">
        <f aca="false">SUMIF($D$4:$AM$4,AQ$4,$D63:$AM63)</f>
        <v>6572.2172726562</v>
      </c>
    </row>
    <row r="64" customFormat="false" ht="15" hidden="false" customHeight="false" outlineLevel="0" collapsed="false">
      <c r="A64" s="11" t="s">
        <v>269</v>
      </c>
      <c r="B64" s="13" t="s">
        <v>161</v>
      </c>
      <c r="C64" s="50" t="n">
        <v>0</v>
      </c>
      <c r="D64" s="44" t="n">
        <f aca="false">D57+D63</f>
        <v>2857.93650793651</v>
      </c>
      <c r="E64" s="44" t="n">
        <f aca="false">E57+E63</f>
        <v>2851.7083079365</v>
      </c>
      <c r="F64" s="44" t="n">
        <f aca="false">F57+F63</f>
        <v>2841.02133149527</v>
      </c>
      <c r="G64" s="44" t="n">
        <f aca="false">G57+G63</f>
        <v>2826.24244540774</v>
      </c>
      <c r="H64" s="44" t="n">
        <f aca="false">H57+H63</f>
        <v>2807.47951996528</v>
      </c>
      <c r="I64" s="44" t="n">
        <f aca="false">I57+I63</f>
        <v>2785.08110925798</v>
      </c>
      <c r="J64" s="44" t="n">
        <f aca="false">J57+J63</f>
        <v>2760.89912923562</v>
      </c>
      <c r="K64" s="44" t="n">
        <f aca="false">K57+K63</f>
        <v>2741.07141932826</v>
      </c>
      <c r="L64" s="44" t="n">
        <f aca="false">L57+L63</f>
        <v>2713.34287570477</v>
      </c>
      <c r="M64" s="44" t="n">
        <f aca="false">M57+M63</f>
        <v>2685.48170025043</v>
      </c>
      <c r="N64" s="44" t="n">
        <f aca="false">N57+N63</f>
        <v>2658.27024745148</v>
      </c>
      <c r="O64" s="44" t="n">
        <f aca="false">O57+O63</f>
        <v>2630.75370292352</v>
      </c>
      <c r="P64" s="44" t="n">
        <f aca="false">P57+P63</f>
        <v>2604.95091861661</v>
      </c>
      <c r="Q64" s="44" t="n">
        <f aca="false">Q57+Q63</f>
        <v>2600.35086363628</v>
      </c>
      <c r="R64" s="44" t="n">
        <f aca="false">R57+R63</f>
        <v>2665.27264573027</v>
      </c>
      <c r="S64" s="44" t="n">
        <f aca="false">S57+S63</f>
        <v>2708.06071151914</v>
      </c>
      <c r="T64" s="44" t="n">
        <f aca="false">T57+T63</f>
        <v>2754.73860400029</v>
      </c>
      <c r="U64" s="44" t="n">
        <f aca="false">U57+U63</f>
        <v>2798.71547728317</v>
      </c>
      <c r="V64" s="44" t="n">
        <f aca="false">V57+V63</f>
        <v>2789.42143638887</v>
      </c>
      <c r="W64" s="44" t="n">
        <f aca="false">W57+W63</f>
        <v>2752.81916455975</v>
      </c>
      <c r="X64" s="44" t="n">
        <f aca="false">X57+X63</f>
        <v>2828.91060187352</v>
      </c>
      <c r="Y64" s="44" t="n">
        <f aca="false">Y57+Y63</f>
        <v>2816.25075131417</v>
      </c>
      <c r="Z64" s="44" t="n">
        <f aca="false">Z57+Z63</f>
        <v>2791.0363857247</v>
      </c>
      <c r="AA64" s="44" t="n">
        <f aca="false">AA57+AA63</f>
        <v>2820.16732862562</v>
      </c>
      <c r="AB64" s="44" t="n">
        <f aca="false">AB57+AB63</f>
        <v>2772.67456354118</v>
      </c>
      <c r="AC64" s="44" t="n">
        <f aca="false">AC57+AC63</f>
        <v>2777.67950695861</v>
      </c>
      <c r="AD64" s="44" t="n">
        <f aca="false">AD57+AD63</f>
        <v>2868.25748092285</v>
      </c>
      <c r="AE64" s="44" t="n">
        <f aca="false">AE57+AE63</f>
        <v>2912.28837653144</v>
      </c>
      <c r="AF64" s="44" t="n">
        <f aca="false">AF57+AF63</f>
        <v>2967.75067080856</v>
      </c>
      <c r="AG64" s="44" t="n">
        <f aca="false">AG57+AG63</f>
        <v>3019.87604020831</v>
      </c>
      <c r="AH64" s="44" t="n">
        <f aca="false">AH57+AH63</f>
        <v>2972.11250822932</v>
      </c>
      <c r="AI64" s="44" t="n">
        <f aca="false">AI57+AI63</f>
        <v>2920.93441434822</v>
      </c>
      <c r="AJ64" s="44" t="n">
        <f aca="false">AJ57+AJ63</f>
        <v>2994.56958350282</v>
      </c>
      <c r="AK64" s="44" t="n">
        <f aca="false">AK57+AK63</f>
        <v>2955.91953299459</v>
      </c>
      <c r="AL64" s="44" t="n">
        <f aca="false">AL57+AL63</f>
        <v>2899.10334552705</v>
      </c>
      <c r="AM64" s="44" t="n">
        <f aca="false">AM57+AM63</f>
        <v>2939.62267765468</v>
      </c>
      <c r="AO64" s="44" t="n">
        <f aca="false">SUMIF($D$4:$AM$4,AO$4,$D64:$AM64)</f>
        <v>33159.2882968934</v>
      </c>
      <c r="AP64" s="44" t="n">
        <f aca="false">SUMIF($D$4:$AM$4,AP$4,$D64:$AM64)</f>
        <v>32930.6948892724</v>
      </c>
      <c r="AQ64" s="44" t="n">
        <f aca="false">SUMIF($D$4:$AM$4,AQ$4,$D64:$AM64)</f>
        <v>35000.7887012276</v>
      </c>
    </row>
    <row r="65" customFormat="false" ht="15" hidden="false" customHeight="false" outlineLevel="0" collapsed="false">
      <c r="A65" s="11" t="s">
        <v>271</v>
      </c>
      <c r="B65" s="13" t="s">
        <v>161</v>
      </c>
      <c r="C65" s="50" t="n">
        <v>0</v>
      </c>
      <c r="D65" s="44" t="n">
        <f aca="false">D48-D64-D62</f>
        <v>-22393.1098412698</v>
      </c>
      <c r="E65" s="44" t="n">
        <f aca="false">E48-E64-E62</f>
        <v>-21915.5118412698</v>
      </c>
      <c r="F65" s="44" t="n">
        <f aca="false">F48-F64-F62</f>
        <v>-21302.5907438308</v>
      </c>
      <c r="G65" s="44" t="n">
        <f aca="false">G48-G64-G62</f>
        <v>-25515.6440702107</v>
      </c>
      <c r="H65" s="44" t="n">
        <f aca="false">H48-H64-H62</f>
        <v>-24846.2849935205</v>
      </c>
      <c r="I65" s="44" t="n">
        <f aca="false">I48-I64-I62</f>
        <v>-24136.1731843559</v>
      </c>
      <c r="J65" s="44" t="n">
        <f aca="false">J48-J64-J62</f>
        <v>-23559.9076716707</v>
      </c>
      <c r="K65" s="44" t="n">
        <f aca="false">K48-K64-K62</f>
        <v>-23756.4743845713</v>
      </c>
      <c r="L65" s="44" t="n">
        <f aca="false">L48-L64-L62</f>
        <v>-22252.4962929129</v>
      </c>
      <c r="M65" s="44" t="n">
        <f aca="false">M48-M64-M62</f>
        <v>-21666.9256200779</v>
      </c>
      <c r="N65" s="44" t="n">
        <f aca="false">N48-N64-N62</f>
        <v>-21149.4021064323</v>
      </c>
      <c r="O65" s="44" t="n">
        <f aca="false">O48-O64-O62</f>
        <v>-20393.9812501488</v>
      </c>
      <c r="P65" s="44" t="n">
        <f aca="false">P48-P64-P62</f>
        <v>-27074.9956305782</v>
      </c>
      <c r="Q65" s="44" t="n">
        <f aca="false">Q48-Q64-Q62</f>
        <v>-25953.3351255407</v>
      </c>
      <c r="R65" s="44" t="n">
        <f aca="false">R48-R64-R62</f>
        <v>-24519.1500241546</v>
      </c>
      <c r="S65" s="44" t="n">
        <f aca="false">S48-S64-S62</f>
        <v>-23543.5984425052</v>
      </c>
      <c r="T65" s="44" t="n">
        <f aca="false">T48-T64-T62</f>
        <v>-22365.0542775237</v>
      </c>
      <c r="U65" s="44" t="n">
        <f aca="false">U48-U64-U62</f>
        <v>-24990.3620138195</v>
      </c>
      <c r="V65" s="44" t="n">
        <f aca="false">V48-V64-V62</f>
        <v>-24419.4851991891</v>
      </c>
      <c r="W65" s="44" t="n">
        <f aca="false">W48-W64-W62</f>
        <v>-22455.7214016504</v>
      </c>
      <c r="X65" s="44" t="n">
        <f aca="false">X48-X64-X62</f>
        <v>-22210.0219116806</v>
      </c>
      <c r="Y65" s="44" t="n">
        <f aca="false">Y48-Y64-Y62</f>
        <v>-21773.1480789261</v>
      </c>
      <c r="Z65" s="44" t="n">
        <f aca="false">Z48-Z64-Z62</f>
        <v>-24075.992365939</v>
      </c>
      <c r="AA65" s="44" t="n">
        <f aca="false">AA48-AA64-AA62</f>
        <v>-22765.5625165494</v>
      </c>
      <c r="AB65" s="44" t="n">
        <f aca="false">AB48-AB64-AB62</f>
        <v>-25628.508203</v>
      </c>
      <c r="AC65" s="44" t="n">
        <f aca="false">AC48-AC64-AC62</f>
        <v>-24249.1749390443</v>
      </c>
      <c r="AD65" s="44" t="n">
        <f aca="false">AD48-AD64-AD62</f>
        <v>-22200.3805726191</v>
      </c>
      <c r="AE65" s="44" t="n">
        <f aca="false">AE48-AE64-AE62</f>
        <v>-20955.7830101482</v>
      </c>
      <c r="AF65" s="44" t="n">
        <f aca="false">AF48-AF64-AF62</f>
        <v>-19314.0214833465</v>
      </c>
      <c r="AG65" s="44" t="n">
        <f aca="false">AG48-AG64-AG62</f>
        <v>-21577.6416167147</v>
      </c>
      <c r="AH65" s="44" t="n">
        <f aca="false">AH48-AH64-AH62</f>
        <v>-21172.7630009624</v>
      </c>
      <c r="AI65" s="44" t="n">
        <f aca="false">AI48-AI64-AI62</f>
        <v>-21442.2616300242</v>
      </c>
      <c r="AJ65" s="44" t="n">
        <f aca="false">AJ48-AJ64-AJ62</f>
        <v>-18455.4113652747</v>
      </c>
      <c r="AK65" s="44" t="n">
        <f aca="false">AK48-AK64-AK62</f>
        <v>-18073.1683491269</v>
      </c>
      <c r="AL65" s="44" t="n">
        <f aca="false">AL48-AL64-AL62</f>
        <v>-17567.5745851146</v>
      </c>
      <c r="AM65" s="44" t="n">
        <f aca="false">AM48-AM64-AM62</f>
        <v>-15799.1521981162</v>
      </c>
      <c r="AO65" s="44" t="n">
        <f aca="false">SUMIF($D$4:$AM$4,AO$4,$D65:$AM65)</f>
        <v>-272888.502000271</v>
      </c>
      <c r="AP65" s="44" t="n">
        <f aca="false">SUMIF($D$4:$AM$4,AP$4,$D65:$AM65)</f>
        <v>-286146.426988056</v>
      </c>
      <c r="AQ65" s="44" t="n">
        <f aca="false">SUMIF($D$4:$AM$4,AQ$4,$D65:$AM65)</f>
        <v>-246435.840953492</v>
      </c>
    </row>
    <row r="66" customFormat="false" ht="15" hidden="false" customHeight="false" outlineLevel="0" collapsed="false">
      <c r="A66" s="5" t="s">
        <v>167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</row>
    <row r="67" customFormat="false" ht="15" hidden="false" customHeight="false" outlineLevel="0" collapsed="false">
      <c r="A67" s="10" t="s">
        <v>299</v>
      </c>
      <c r="B67" s="13" t="s">
        <v>161</v>
      </c>
      <c r="C67" s="50" t="n">
        <v>0</v>
      </c>
      <c r="D67" s="45" t="n">
        <f aca="false">C70*taux_pret/12</f>
        <v>0</v>
      </c>
      <c r="E67" s="45" t="n">
        <f aca="false">D70*taux_pret/12</f>
        <v>825</v>
      </c>
      <c r="F67" s="45" t="n">
        <f aca="false">E70*taux_pret/12</f>
        <v>825</v>
      </c>
      <c r="G67" s="45" t="n">
        <f aca="false">F70*taux_pret/12</f>
        <v>825</v>
      </c>
      <c r="H67" s="45" t="n">
        <f aca="false">G70*taux_pret/12</f>
        <v>825</v>
      </c>
      <c r="I67" s="45" t="n">
        <f aca="false">H70*taux_pret/12</f>
        <v>825</v>
      </c>
      <c r="J67" s="45" t="n">
        <f aca="false">I70*taux_pret/12</f>
        <v>825</v>
      </c>
      <c r="K67" s="45" t="n">
        <f aca="false">J70*taux_pret/12</f>
        <v>825</v>
      </c>
      <c r="L67" s="45" t="n">
        <f aca="false">K70*taux_pret/12</f>
        <v>811.188395317884</v>
      </c>
      <c r="M67" s="45" t="n">
        <f aca="false">L70*taux_pret/12</f>
        <v>797.32499711821</v>
      </c>
      <c r="N67" s="45" t="n">
        <f aca="false">M70*taux_pret/12</f>
        <v>783.409611175288</v>
      </c>
      <c r="O67" s="45" t="n">
        <f aca="false">N70*taux_pret/12</f>
        <v>769.442042535079</v>
      </c>
      <c r="P67" s="45" t="n">
        <f aca="false">O70*taux_pret/12</f>
        <v>755.42209551247</v>
      </c>
      <c r="Q67" s="45" t="n">
        <f aca="false">P70*taux_pret/12</f>
        <v>741.349573688526</v>
      </c>
      <c r="R67" s="45" t="n">
        <f aca="false">Q70*taux_pret/12</f>
        <v>727.224279907742</v>
      </c>
      <c r="S67" s="45" t="n">
        <f aca="false">R70*taux_pret/12</f>
        <v>713.04601627528</v>
      </c>
      <c r="T67" s="45" t="n">
        <f aca="false">S70*taux_pret/12</f>
        <v>698.814584154196</v>
      </c>
      <c r="U67" s="45" t="n">
        <f aca="false">T70*taux_pret/12</f>
        <v>684.529784162658</v>
      </c>
      <c r="V67" s="45" t="n">
        <f aca="false">U70*taux_pret/12</f>
        <v>670.191416171153</v>
      </c>
      <c r="W67" s="45" t="n">
        <f aca="false">V70*taux_pret/12</f>
        <v>655.799279299679</v>
      </c>
      <c r="X67" s="45" t="n">
        <f aca="false">W70*taux_pret/12</f>
        <v>641.353171914936</v>
      </c>
      <c r="Y67" s="45" t="n">
        <f aca="false">X70*taux_pret/12</f>
        <v>626.852891627501</v>
      </c>
      <c r="Z67" s="45" t="n">
        <f aca="false">Y70*taux_pret/12</f>
        <v>612.298235288989</v>
      </c>
      <c r="AA67" s="45" t="n">
        <f aca="false">Z70*taux_pret/12</f>
        <v>597.688998989207</v>
      </c>
      <c r="AB67" s="45" t="n">
        <f aca="false">AA70*taux_pret/12</f>
        <v>583.0249780533</v>
      </c>
      <c r="AC67" s="45" t="n">
        <f aca="false">AB70*taux_pret/12</f>
        <v>568.305967038884</v>
      </c>
      <c r="AD67" s="45" t="n">
        <f aca="false">AC70*taux_pret/12</f>
        <v>553.531759733164</v>
      </c>
      <c r="AE67" s="45" t="n">
        <f aca="false">AD70*taux_pret/12</f>
        <v>538.702149150047</v>
      </c>
      <c r="AF67" s="45" t="n">
        <f aca="false">AE70*taux_pret/12</f>
        <v>523.816927527244</v>
      </c>
      <c r="AG67" s="45" t="n">
        <f aca="false">AF70*taux_pret/12</f>
        <v>508.875886323356</v>
      </c>
      <c r="AH67" s="45" t="n">
        <f aca="false">AG70*taux_pret/12</f>
        <v>493.878816214952</v>
      </c>
      <c r="AI67" s="45" t="n">
        <f aca="false">AH70*taux_pret/12</f>
        <v>478.825507093642</v>
      </c>
      <c r="AJ67" s="45" t="n">
        <f aca="false">AI70*taux_pret/12</f>
        <v>463.715748063128</v>
      </c>
      <c r="AK67" s="45" t="n">
        <f aca="false">AJ70*taux_pret/12</f>
        <v>448.549327436248</v>
      </c>
      <c r="AL67" s="45" t="n">
        <f aca="false">AK70*taux_pret/12</f>
        <v>433.326032732019</v>
      </c>
      <c r="AM67" s="45" t="n">
        <f aca="false">AL70*taux_pret/12</f>
        <v>418.045650672648</v>
      </c>
      <c r="AO67" s="45" t="n">
        <f aca="false">SUMIF($D$4:$AM$4,AO$4,$D67:$AM67)</f>
        <v>8936.36504614646</v>
      </c>
      <c r="AP67" s="45" t="n">
        <f aca="false">SUMIF($D$4:$AM$4,AP$4,$D67:$AM67)</f>
        <v>8124.57032699234</v>
      </c>
      <c r="AQ67" s="45" t="n">
        <f aca="false">SUMIF($D$4:$AM$4,AQ$4,$D67:$AM67)</f>
        <v>6012.59875003863</v>
      </c>
    </row>
    <row r="68" customFormat="false" ht="15" hidden="false" customHeight="false" outlineLevel="0" collapsed="false">
      <c r="A68" s="10" t="s">
        <v>298</v>
      </c>
      <c r="B68" s="13" t="s">
        <v>161</v>
      </c>
      <c r="C68" s="50" t="n">
        <v>0</v>
      </c>
      <c r="D68" s="45" t="n">
        <f aca="false">IF(AND(D$6&gt;mois_pret+differe,D$6&lt;=mois_pret+differe+duree_pret),mensualite-D67,0)</f>
        <v>0</v>
      </c>
      <c r="E68" s="45" t="n">
        <f aca="false">IF(AND(E$6&gt;mois_pret+differe,E$6&lt;=mois_pret+differe+duree_pret),mensualite-E67,0)</f>
        <v>0</v>
      </c>
      <c r="F68" s="45" t="n">
        <f aca="false">IF(AND(F$6&gt;mois_pret+differe,F$6&lt;=mois_pret+differe+duree_pret),mensualite-F67,0)</f>
        <v>0</v>
      </c>
      <c r="G68" s="45" t="n">
        <f aca="false">IF(AND(G$6&gt;mois_pret+differe,G$6&lt;=mois_pret+differe+duree_pret),mensualite-G67,0)</f>
        <v>0</v>
      </c>
      <c r="H68" s="45" t="n">
        <f aca="false">IF(AND(H$6&gt;mois_pret+differe,H$6&lt;=mois_pret+differe+duree_pret),mensualite-H67,0)</f>
        <v>0</v>
      </c>
      <c r="I68" s="45" t="n">
        <f aca="false">IF(AND(I$6&gt;mois_pret+differe,I$6&lt;=mois_pret+differe+duree_pret),mensualite-I67,0)</f>
        <v>0</v>
      </c>
      <c r="J68" s="45" t="n">
        <f aca="false">IF(AND(J$6&gt;mois_pret+differe,J$6&lt;=mois_pret+differe+duree_pret),mensualite-J67,0)</f>
        <v>0</v>
      </c>
      <c r="K68" s="45" t="n">
        <f aca="false">IF(AND(K$6&gt;mois_pret+differe,K$6&lt;=mois_pret+differe+duree_pret),mensualite-K67,0)</f>
        <v>3683.09458189757</v>
      </c>
      <c r="L68" s="45" t="n">
        <f aca="false">IF(AND(L$6&gt;mois_pret+differe,L$6&lt;=mois_pret+differe+duree_pret),mensualite-L67,0)</f>
        <v>3696.90618657969</v>
      </c>
      <c r="M68" s="45" t="n">
        <f aca="false">IF(AND(M$6&gt;mois_pret+differe,M$6&lt;=mois_pret+differe+duree_pret),mensualite-M67,0)</f>
        <v>3710.76958477936</v>
      </c>
      <c r="N68" s="45" t="n">
        <f aca="false">IF(AND(N$6&gt;mois_pret+differe,N$6&lt;=mois_pret+differe+duree_pret),mensualite-N67,0)</f>
        <v>3724.68497072228</v>
      </c>
      <c r="O68" s="45" t="n">
        <f aca="false">IF(AND(O$6&gt;mois_pret+differe,O$6&lt;=mois_pret+differe+duree_pret),mensualite-O67,0)</f>
        <v>3738.65253936249</v>
      </c>
      <c r="P68" s="45" t="n">
        <f aca="false">IF(AND(P$6&gt;mois_pret+differe,P$6&lt;=mois_pret+differe+duree_pret),mensualite-P67,0)</f>
        <v>3752.6724863851</v>
      </c>
      <c r="Q68" s="45" t="n">
        <f aca="false">IF(AND(Q$6&gt;mois_pret+differe,Q$6&lt;=mois_pret+differe+duree_pret),mensualite-Q67,0)</f>
        <v>3766.74500820905</v>
      </c>
      <c r="R68" s="45" t="n">
        <f aca="false">IF(AND(R$6&gt;mois_pret+differe,R$6&lt;=mois_pret+differe+duree_pret),mensualite-R67,0)</f>
        <v>3780.87030198983</v>
      </c>
      <c r="S68" s="45" t="n">
        <f aca="false">IF(AND(S$6&gt;mois_pret+differe,S$6&lt;=mois_pret+differe+duree_pret),mensualite-S67,0)</f>
        <v>3795.04856562229</v>
      </c>
      <c r="T68" s="45" t="n">
        <f aca="false">IF(AND(T$6&gt;mois_pret+differe,T$6&lt;=mois_pret+differe+duree_pret),mensualite-T67,0)</f>
        <v>3809.27999774337</v>
      </c>
      <c r="U68" s="45" t="n">
        <f aca="false">IF(AND(U$6&gt;mois_pret+differe,U$6&lt;=mois_pret+differe+duree_pret),mensualite-U67,0)</f>
        <v>3823.56479773491</v>
      </c>
      <c r="V68" s="45" t="n">
        <f aca="false">IF(AND(V$6&gt;mois_pret+differe,V$6&lt;=mois_pret+differe+duree_pret),mensualite-V67,0)</f>
        <v>3837.90316572642</v>
      </c>
      <c r="W68" s="45" t="n">
        <f aca="false">IF(AND(W$6&gt;mois_pret+differe,W$6&lt;=mois_pret+differe+duree_pret),mensualite-W67,0)</f>
        <v>3852.29530259789</v>
      </c>
      <c r="X68" s="45" t="n">
        <f aca="false">IF(AND(X$6&gt;mois_pret+differe,X$6&lt;=mois_pret+differe+duree_pret),mensualite-X67,0)</f>
        <v>3866.74140998263</v>
      </c>
      <c r="Y68" s="45" t="n">
        <f aca="false">IF(AND(Y$6&gt;mois_pret+differe,Y$6&lt;=mois_pret+differe+duree_pret),mensualite-Y67,0)</f>
        <v>3881.24169027007</v>
      </c>
      <c r="Z68" s="45" t="n">
        <f aca="false">IF(AND(Z$6&gt;mois_pret+differe,Z$6&lt;=mois_pret+differe+duree_pret),mensualite-Z67,0)</f>
        <v>3895.79634660858</v>
      </c>
      <c r="AA68" s="45" t="n">
        <f aca="false">IF(AND(AA$6&gt;mois_pret+differe,AA$6&lt;=mois_pret+differe+duree_pret),mensualite-AA67,0)</f>
        <v>3910.40558290836</v>
      </c>
      <c r="AB68" s="45" t="n">
        <f aca="false">IF(AND(AB$6&gt;mois_pret+differe,AB$6&lt;=mois_pret+differe+duree_pret),mensualite-AB67,0)</f>
        <v>3925.06960384427</v>
      </c>
      <c r="AC68" s="45" t="n">
        <f aca="false">IF(AND(AC$6&gt;mois_pret+differe,AC$6&lt;=mois_pret+differe+duree_pret),mensualite-AC67,0)</f>
        <v>3939.78861485869</v>
      </c>
      <c r="AD68" s="45" t="n">
        <f aca="false">IF(AND(AD$6&gt;mois_pret+differe,AD$6&lt;=mois_pret+differe+duree_pret),mensualite-AD67,0)</f>
        <v>3954.56282216441</v>
      </c>
      <c r="AE68" s="45" t="n">
        <f aca="false">IF(AND(AE$6&gt;mois_pret+differe,AE$6&lt;=mois_pret+differe+duree_pret),mensualite-AE67,0)</f>
        <v>3969.39243274752</v>
      </c>
      <c r="AF68" s="45" t="n">
        <f aca="false">IF(AND(AF$6&gt;mois_pret+differe,AF$6&lt;=mois_pret+differe+duree_pret),mensualite-AF67,0)</f>
        <v>3984.27765437033</v>
      </c>
      <c r="AG68" s="45" t="n">
        <f aca="false">IF(AND(AG$6&gt;mois_pret+differe,AG$6&lt;=mois_pret+differe+duree_pret),mensualite-AG67,0)</f>
        <v>3999.21869557422</v>
      </c>
      <c r="AH68" s="45" t="n">
        <f aca="false">IF(AND(AH$6&gt;mois_pret+differe,AH$6&lt;=mois_pret+differe+duree_pret),mensualite-AH67,0)</f>
        <v>4014.21576568262</v>
      </c>
      <c r="AI68" s="45" t="n">
        <f aca="false">IF(AND(AI$6&gt;mois_pret+differe,AI$6&lt;=mois_pret+differe+duree_pret),mensualite-AI67,0)</f>
        <v>4029.26907480393</v>
      </c>
      <c r="AJ68" s="45" t="n">
        <f aca="false">IF(AND(AJ$6&gt;mois_pret+differe,AJ$6&lt;=mois_pret+differe+duree_pret),mensualite-AJ67,0)</f>
        <v>4044.37883383444</v>
      </c>
      <c r="AK68" s="45" t="n">
        <f aca="false">IF(AND(AK$6&gt;mois_pret+differe,AK$6&lt;=mois_pret+differe+duree_pret),mensualite-AK67,0)</f>
        <v>4059.54525446132</v>
      </c>
      <c r="AL68" s="45" t="n">
        <f aca="false">IF(AND(AL$6&gt;mois_pret+differe,AL$6&lt;=mois_pret+differe+duree_pret),mensualite-AL67,0)</f>
        <v>4074.76854916555</v>
      </c>
      <c r="AM68" s="45" t="n">
        <f aca="false">IF(AND(AM$6&gt;mois_pret+differe,AM$6&lt;=mois_pret+differe+duree_pret),mensualite-AM67,0)</f>
        <v>4090.04893122492</v>
      </c>
      <c r="AO68" s="45" t="n">
        <f aca="false">SUMIF($D$4:$AM$4,AO$4,$D68:$AM68)</f>
        <v>18554.1078633414</v>
      </c>
      <c r="AP68" s="45" t="n">
        <f aca="false">SUMIF($D$4:$AM$4,AP$4,$D68:$AM68)</f>
        <v>45972.5646557785</v>
      </c>
      <c r="AQ68" s="45" t="n">
        <f aca="false">SUMIF($D$4:$AM$4,AQ$4,$D68:$AM68)</f>
        <v>48084.5362327322</v>
      </c>
    </row>
    <row r="69" customFormat="false" ht="15" hidden="false" customHeight="false" outlineLevel="0" collapsed="false">
      <c r="A69" s="10" t="s">
        <v>297</v>
      </c>
      <c r="B69" s="13" t="s">
        <v>161</v>
      </c>
      <c r="C69" s="50" t="n">
        <v>0</v>
      </c>
      <c r="D69" s="45" t="n">
        <f aca="false">IF(D$6=mois_pret,pret,0)</f>
        <v>220000</v>
      </c>
      <c r="E69" s="45" t="n">
        <f aca="false">IF(E$6=mois_pret,pret,0)</f>
        <v>0</v>
      </c>
      <c r="F69" s="45" t="n">
        <f aca="false">IF(F$6=mois_pret,pret,0)</f>
        <v>0</v>
      </c>
      <c r="G69" s="45" t="n">
        <f aca="false">IF(G$6=mois_pret,pret,0)</f>
        <v>0</v>
      </c>
      <c r="H69" s="45" t="n">
        <f aca="false">IF(H$6=mois_pret,pret,0)</f>
        <v>0</v>
      </c>
      <c r="I69" s="45" t="n">
        <f aca="false">IF(I$6=mois_pret,pret,0)</f>
        <v>0</v>
      </c>
      <c r="J69" s="45" t="n">
        <f aca="false">IF(J$6=mois_pret,pret,0)</f>
        <v>0</v>
      </c>
      <c r="K69" s="45" t="n">
        <f aca="false">IF(K$6=mois_pret,pret,0)</f>
        <v>0</v>
      </c>
      <c r="L69" s="45" t="n">
        <f aca="false">IF(L$6=mois_pret,pret,0)</f>
        <v>0</v>
      </c>
      <c r="M69" s="45" t="n">
        <f aca="false">IF(M$6=mois_pret,pret,0)</f>
        <v>0</v>
      </c>
      <c r="N69" s="45" t="n">
        <f aca="false">IF(N$6=mois_pret,pret,0)</f>
        <v>0</v>
      </c>
      <c r="O69" s="45" t="n">
        <f aca="false">IF(O$6=mois_pret,pret,0)</f>
        <v>0</v>
      </c>
      <c r="P69" s="45" t="n">
        <f aca="false">IF(P$6=mois_pret,pret,0)</f>
        <v>0</v>
      </c>
      <c r="Q69" s="45" t="n">
        <f aca="false">IF(Q$6=mois_pret,pret,0)</f>
        <v>0</v>
      </c>
      <c r="R69" s="45" t="n">
        <f aca="false">IF(R$6=mois_pret,pret,0)</f>
        <v>0</v>
      </c>
      <c r="S69" s="45" t="n">
        <f aca="false">IF(S$6=mois_pret,pret,0)</f>
        <v>0</v>
      </c>
      <c r="T69" s="45" t="n">
        <f aca="false">IF(T$6=mois_pret,pret,0)</f>
        <v>0</v>
      </c>
      <c r="U69" s="45" t="n">
        <f aca="false">IF(U$6=mois_pret,pret,0)</f>
        <v>0</v>
      </c>
      <c r="V69" s="45" t="n">
        <f aca="false">IF(V$6=mois_pret,pret,0)</f>
        <v>0</v>
      </c>
      <c r="W69" s="45" t="n">
        <f aca="false">IF(W$6=mois_pret,pret,0)</f>
        <v>0</v>
      </c>
      <c r="X69" s="45" t="n">
        <f aca="false">IF(X$6=mois_pret,pret,0)</f>
        <v>0</v>
      </c>
      <c r="Y69" s="45" t="n">
        <f aca="false">IF(Y$6=mois_pret,pret,0)</f>
        <v>0</v>
      </c>
      <c r="Z69" s="45" t="n">
        <f aca="false">IF(Z$6=mois_pret,pret,0)</f>
        <v>0</v>
      </c>
      <c r="AA69" s="45" t="n">
        <f aca="false">IF(AA$6=mois_pret,pret,0)</f>
        <v>0</v>
      </c>
      <c r="AB69" s="45" t="n">
        <f aca="false">IF(AB$6=mois_pret,pret,0)</f>
        <v>0</v>
      </c>
      <c r="AC69" s="45" t="n">
        <f aca="false">IF(AC$6=mois_pret,pret,0)</f>
        <v>0</v>
      </c>
      <c r="AD69" s="45" t="n">
        <f aca="false">IF(AD$6=mois_pret,pret,0)</f>
        <v>0</v>
      </c>
      <c r="AE69" s="45" t="n">
        <f aca="false">IF(AE$6=mois_pret,pret,0)</f>
        <v>0</v>
      </c>
      <c r="AF69" s="45" t="n">
        <f aca="false">IF(AF$6=mois_pret,pret,0)</f>
        <v>0</v>
      </c>
      <c r="AG69" s="45" t="n">
        <f aca="false">IF(AG$6=mois_pret,pret,0)</f>
        <v>0</v>
      </c>
      <c r="AH69" s="45" t="n">
        <f aca="false">IF(AH$6=mois_pret,pret,0)</f>
        <v>0</v>
      </c>
      <c r="AI69" s="45" t="n">
        <f aca="false">IF(AI$6=mois_pret,pret,0)</f>
        <v>0</v>
      </c>
      <c r="AJ69" s="45" t="n">
        <f aca="false">IF(AJ$6=mois_pret,pret,0)</f>
        <v>0</v>
      </c>
      <c r="AK69" s="45" t="n">
        <f aca="false">IF(AK$6=mois_pret,pret,0)</f>
        <v>0</v>
      </c>
      <c r="AL69" s="45" t="n">
        <f aca="false">IF(AL$6=mois_pret,pret,0)</f>
        <v>0</v>
      </c>
      <c r="AM69" s="45" t="n">
        <f aca="false">IF(AM$6=mois_pret,pret,0)</f>
        <v>0</v>
      </c>
      <c r="AO69" s="45" t="n">
        <f aca="false">SUMIF($D$4:$AM$4,AO$4,$D69:$AM69)</f>
        <v>220000</v>
      </c>
      <c r="AP69" s="45" t="n">
        <f aca="false">SUMIF($D$4:$AM$4,AP$4,$D69:$AM69)</f>
        <v>0</v>
      </c>
      <c r="AQ69" s="45" t="n">
        <f aca="false">SUMIF($D$4:$AM$4,AQ$4,$D69:$AM69)</f>
        <v>0</v>
      </c>
    </row>
    <row r="70" customFormat="false" ht="15" hidden="false" customHeight="false" outlineLevel="0" collapsed="false">
      <c r="A70" s="10" t="s">
        <v>425</v>
      </c>
      <c r="B70" s="13" t="s">
        <v>161</v>
      </c>
      <c r="C70" s="50" t="n">
        <v>0</v>
      </c>
      <c r="D70" s="45" t="n">
        <f aca="false">C70+D69-D68</f>
        <v>220000</v>
      </c>
      <c r="E70" s="45" t="n">
        <f aca="false">D70+E69-E68</f>
        <v>220000</v>
      </c>
      <c r="F70" s="45" t="n">
        <f aca="false">E70+F69-F68</f>
        <v>220000</v>
      </c>
      <c r="G70" s="45" t="n">
        <f aca="false">F70+G69-G68</f>
        <v>220000</v>
      </c>
      <c r="H70" s="45" t="n">
        <f aca="false">G70+H69-H68</f>
        <v>220000</v>
      </c>
      <c r="I70" s="45" t="n">
        <f aca="false">H70+I69-I68</f>
        <v>220000</v>
      </c>
      <c r="J70" s="45" t="n">
        <f aca="false">I70+J69-J68</f>
        <v>220000</v>
      </c>
      <c r="K70" s="45" t="n">
        <f aca="false">J70+K69-K68</f>
        <v>216316.905418102</v>
      </c>
      <c r="L70" s="45" t="n">
        <f aca="false">K70+L69-L68</f>
        <v>212619.999231523</v>
      </c>
      <c r="M70" s="45" t="n">
        <f aca="false">L70+M69-M68</f>
        <v>208909.229646743</v>
      </c>
      <c r="N70" s="45" t="n">
        <f aca="false">M70+N69-N68</f>
        <v>205184.544676021</v>
      </c>
      <c r="O70" s="45" t="n">
        <f aca="false">N70+O69-O68</f>
        <v>201445.892136659</v>
      </c>
      <c r="P70" s="45" t="n">
        <f aca="false">O70+P69-P68</f>
        <v>197693.219650274</v>
      </c>
      <c r="Q70" s="45" t="n">
        <f aca="false">P70+Q69-Q68</f>
        <v>193926.474642064</v>
      </c>
      <c r="R70" s="45" t="n">
        <f aca="false">Q70+R69-R68</f>
        <v>190145.604340075</v>
      </c>
      <c r="S70" s="45" t="n">
        <f aca="false">R70+S69-S68</f>
        <v>186350.555774452</v>
      </c>
      <c r="T70" s="45" t="n">
        <f aca="false">S70+T69-T68</f>
        <v>182541.275776709</v>
      </c>
      <c r="U70" s="45" t="n">
        <f aca="false">T70+U69-U68</f>
        <v>178717.710978974</v>
      </c>
      <c r="V70" s="45" t="n">
        <f aca="false">U70+V69-V68</f>
        <v>174879.807813248</v>
      </c>
      <c r="W70" s="45" t="n">
        <f aca="false">V70+W69-W68</f>
        <v>171027.51251065</v>
      </c>
      <c r="X70" s="45" t="n">
        <f aca="false">W70+X69-X68</f>
        <v>167160.771100667</v>
      </c>
      <c r="Y70" s="45" t="n">
        <f aca="false">X70+Y69-Y68</f>
        <v>163279.529410397</v>
      </c>
      <c r="Z70" s="45" t="n">
        <f aca="false">Y70+Z69-Z68</f>
        <v>159383.733063788</v>
      </c>
      <c r="AA70" s="45" t="n">
        <f aca="false">Z70+AA69-AA68</f>
        <v>155473.32748088</v>
      </c>
      <c r="AB70" s="45" t="n">
        <f aca="false">AA70+AB69-AB68</f>
        <v>151548.257877036</v>
      </c>
      <c r="AC70" s="45" t="n">
        <f aca="false">AB70+AC69-AC68</f>
        <v>147608.469262177</v>
      </c>
      <c r="AD70" s="45" t="n">
        <f aca="false">AC70+AD69-AD68</f>
        <v>143653.906440013</v>
      </c>
      <c r="AE70" s="45" t="n">
        <f aca="false">AD70+AE69-AE68</f>
        <v>139684.514007265</v>
      </c>
      <c r="AF70" s="45" t="n">
        <f aca="false">AE70+AF69-AF68</f>
        <v>135700.236352895</v>
      </c>
      <c r="AG70" s="45" t="n">
        <f aca="false">AF70+AG69-AG68</f>
        <v>131701.017657321</v>
      </c>
      <c r="AH70" s="45" t="n">
        <f aca="false">AG70+AH69-AH68</f>
        <v>127686.801891638</v>
      </c>
      <c r="AI70" s="45" t="n">
        <f aca="false">AH70+AI69-AI68</f>
        <v>123657.532816834</v>
      </c>
      <c r="AJ70" s="45" t="n">
        <f aca="false">AI70+AJ69-AJ68</f>
        <v>119613.153983</v>
      </c>
      <c r="AK70" s="45" t="n">
        <f aca="false">AJ70+AK69-AK68</f>
        <v>115553.608728538</v>
      </c>
      <c r="AL70" s="45" t="n">
        <f aca="false">AK70+AL69-AL68</f>
        <v>111478.840179373</v>
      </c>
      <c r="AM70" s="45" t="n">
        <f aca="false">AL70+AM69-AM68</f>
        <v>107388.791248148</v>
      </c>
      <c r="AO70" s="45" t="n">
        <f aca="false">INDEX($D70:$AM70,(AO$4-annee_debut)*12+12)</f>
        <v>201445.892136659</v>
      </c>
      <c r="AP70" s="45" t="n">
        <f aca="false">INDEX($D70:$AM70,(AP$4-annee_debut)*12+12)</f>
        <v>155473.32748088</v>
      </c>
      <c r="AQ70" s="45" t="n">
        <f aca="false">INDEX($D70:$AM70,(AQ$4-annee_debut)*12+12)</f>
        <v>107388.791248148</v>
      </c>
    </row>
    <row r="71" customFormat="false" ht="15" hidden="false" customHeight="false" outlineLevel="0" collapsed="false">
      <c r="A71" s="5" t="s">
        <v>426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</row>
    <row r="72" customFormat="false" ht="15" hidden="false" customHeight="false" outlineLevel="0" collapsed="false">
      <c r="A72" s="11" t="s">
        <v>273</v>
      </c>
      <c r="B72" s="13" t="s">
        <v>161</v>
      </c>
      <c r="C72" s="50" t="n">
        <v>0</v>
      </c>
      <c r="D72" s="44" t="n">
        <f aca="false">D65-D67</f>
        <v>-22393.1098412698</v>
      </c>
      <c r="E72" s="44" t="n">
        <f aca="false">E65-E67</f>
        <v>-22740.5118412698</v>
      </c>
      <c r="F72" s="44" t="n">
        <f aca="false">F65-F67</f>
        <v>-22127.5907438308</v>
      </c>
      <c r="G72" s="44" t="n">
        <f aca="false">G65-G67</f>
        <v>-26340.6440702107</v>
      </c>
      <c r="H72" s="44" t="n">
        <f aca="false">H65-H67</f>
        <v>-25671.2849935205</v>
      </c>
      <c r="I72" s="44" t="n">
        <f aca="false">I65-I67</f>
        <v>-24961.1731843559</v>
      </c>
      <c r="J72" s="44" t="n">
        <f aca="false">J65-J67</f>
        <v>-24384.9076716707</v>
      </c>
      <c r="K72" s="44" t="n">
        <f aca="false">K65-K67</f>
        <v>-24581.4743845713</v>
      </c>
      <c r="L72" s="44" t="n">
        <f aca="false">L65-L67</f>
        <v>-23063.6846882308</v>
      </c>
      <c r="M72" s="44" t="n">
        <f aca="false">M65-M67</f>
        <v>-22464.2506171961</v>
      </c>
      <c r="N72" s="44" t="n">
        <f aca="false">N65-N67</f>
        <v>-21932.8117176076</v>
      </c>
      <c r="O72" s="44" t="n">
        <f aca="false">O65-O67</f>
        <v>-21163.4232926839</v>
      </c>
      <c r="P72" s="44" t="n">
        <f aca="false">P65-P67</f>
        <v>-27830.4177260906</v>
      </c>
      <c r="Q72" s="44" t="n">
        <f aca="false">Q65-Q67</f>
        <v>-26694.6846992292</v>
      </c>
      <c r="R72" s="44" t="n">
        <f aca="false">R65-R67</f>
        <v>-25246.3743040623</v>
      </c>
      <c r="S72" s="44" t="n">
        <f aca="false">S65-S67</f>
        <v>-24256.6444587805</v>
      </c>
      <c r="T72" s="44" t="n">
        <f aca="false">T65-T67</f>
        <v>-23063.8688616779</v>
      </c>
      <c r="U72" s="44" t="n">
        <f aca="false">U65-U67</f>
        <v>-25674.8917979822</v>
      </c>
      <c r="V72" s="44" t="n">
        <f aca="false">V65-V67</f>
        <v>-25089.6766153603</v>
      </c>
      <c r="W72" s="44" t="n">
        <f aca="false">W65-W67</f>
        <v>-23111.5206809501</v>
      </c>
      <c r="X72" s="44" t="n">
        <f aca="false">X65-X67</f>
        <v>-22851.3750835956</v>
      </c>
      <c r="Y72" s="44" t="n">
        <f aca="false">Y65-Y67</f>
        <v>-22400.0009705536</v>
      </c>
      <c r="Z72" s="44" t="n">
        <f aca="false">Z65-Z67</f>
        <v>-24688.290601228</v>
      </c>
      <c r="AA72" s="44" t="n">
        <f aca="false">AA65-AA67</f>
        <v>-23363.2515155386</v>
      </c>
      <c r="AB72" s="44" t="n">
        <f aca="false">AB65-AB67</f>
        <v>-26211.5331810533</v>
      </c>
      <c r="AC72" s="44" t="n">
        <f aca="false">AC65-AC67</f>
        <v>-24817.4809060832</v>
      </c>
      <c r="AD72" s="44" t="n">
        <f aca="false">AD65-AD67</f>
        <v>-22753.9123323523</v>
      </c>
      <c r="AE72" s="44" t="n">
        <f aca="false">AE65-AE67</f>
        <v>-21494.4851592983</v>
      </c>
      <c r="AF72" s="44" t="n">
        <f aca="false">AF65-AF67</f>
        <v>-19837.8384108737</v>
      </c>
      <c r="AG72" s="44" t="n">
        <f aca="false">AG65-AG67</f>
        <v>-22086.5175030381</v>
      </c>
      <c r="AH72" s="44" t="n">
        <f aca="false">AH65-AH67</f>
        <v>-21666.6418171774</v>
      </c>
      <c r="AI72" s="44" t="n">
        <f aca="false">AI65-AI67</f>
        <v>-21921.0871371179</v>
      </c>
      <c r="AJ72" s="44" t="n">
        <f aca="false">AJ65-AJ67</f>
        <v>-18919.1271133378</v>
      </c>
      <c r="AK72" s="44" t="n">
        <f aca="false">AK65-AK67</f>
        <v>-18521.7176765632</v>
      </c>
      <c r="AL72" s="44" t="n">
        <f aca="false">AL65-AL67</f>
        <v>-18000.9006178467</v>
      </c>
      <c r="AM72" s="44" t="n">
        <f aca="false">AM65-AM67</f>
        <v>-16217.1978487889</v>
      </c>
      <c r="AO72" s="44" t="n">
        <f aca="false">SUMIF($D$4:$AM$4,AO$4,$D72:$AM72)</f>
        <v>-281824.867046418</v>
      </c>
      <c r="AP72" s="44" t="n">
        <f aca="false">SUMIF($D$4:$AM$4,AP$4,$D72:$AM72)</f>
        <v>-294270.997315049</v>
      </c>
      <c r="AQ72" s="44" t="n">
        <f aca="false">SUMIF($D$4:$AM$4,AQ$4,$D72:$AM72)</f>
        <v>-252448.439703531</v>
      </c>
    </row>
    <row r="73" customFormat="false" ht="15" hidden="false" customHeight="false" outlineLevel="0" collapsed="false">
      <c r="A73" s="10" t="s">
        <v>427</v>
      </c>
      <c r="B73" s="13" t="s">
        <v>161</v>
      </c>
      <c r="C73" s="50" t="n">
        <v>0</v>
      </c>
      <c r="D73" s="45" t="n">
        <f aca="false">IF(D$5=12,taux_is*MAX(0,SUMIF($D$4:$AM$4,D$4,$D72:$AM72)-C74),0)</f>
        <v>0</v>
      </c>
      <c r="E73" s="45" t="n">
        <f aca="false">IF(E$5=12,taux_is*MAX(0,SUMIF($D$4:$AM$4,E$4,$D72:$AM72)-D74),0)</f>
        <v>0</v>
      </c>
      <c r="F73" s="45" t="n">
        <f aca="false">IF(F$5=12,taux_is*MAX(0,SUMIF($D$4:$AM$4,F$4,$D72:$AM72)-E74),0)</f>
        <v>0</v>
      </c>
      <c r="G73" s="45" t="n">
        <f aca="false">IF(G$5=12,taux_is*MAX(0,SUMIF($D$4:$AM$4,G$4,$D72:$AM72)-F74),0)</f>
        <v>0</v>
      </c>
      <c r="H73" s="45" t="n">
        <f aca="false">IF(H$5=12,taux_is*MAX(0,SUMIF($D$4:$AM$4,H$4,$D72:$AM72)-G74),0)</f>
        <v>0</v>
      </c>
      <c r="I73" s="45" t="n">
        <f aca="false">IF(I$5=12,taux_is*MAX(0,SUMIF($D$4:$AM$4,I$4,$D72:$AM72)-H74),0)</f>
        <v>0</v>
      </c>
      <c r="J73" s="45" t="n">
        <f aca="false">IF(J$5=12,taux_is*MAX(0,SUMIF($D$4:$AM$4,J$4,$D72:$AM72)-I74),0)</f>
        <v>0</v>
      </c>
      <c r="K73" s="45" t="n">
        <f aca="false">IF(K$5=12,taux_is*MAX(0,SUMIF($D$4:$AM$4,K$4,$D72:$AM72)-J74),0)</f>
        <v>0</v>
      </c>
      <c r="L73" s="45" t="n">
        <f aca="false">IF(L$5=12,taux_is*MAX(0,SUMIF($D$4:$AM$4,L$4,$D72:$AM72)-K74),0)</f>
        <v>0</v>
      </c>
      <c r="M73" s="45" t="n">
        <f aca="false">IF(M$5=12,taux_is*MAX(0,SUMIF($D$4:$AM$4,M$4,$D72:$AM72)-L74),0)</f>
        <v>0</v>
      </c>
      <c r="N73" s="45" t="n">
        <f aca="false">IF(N$5=12,taux_is*MAX(0,SUMIF($D$4:$AM$4,N$4,$D72:$AM72)-M74),0)</f>
        <v>0</v>
      </c>
      <c r="O73" s="45" t="n">
        <f aca="false">IF(O$5=12,taux_is*MAX(0,SUMIF($D$4:$AM$4,O$4,$D72:$AM72)-N74),0)</f>
        <v>0</v>
      </c>
      <c r="P73" s="45" t="n">
        <f aca="false">IF(P$5=12,taux_is*MAX(0,SUMIF($D$4:$AM$4,P$4,$D72:$AM72)-O74),0)</f>
        <v>0</v>
      </c>
      <c r="Q73" s="45" t="n">
        <f aca="false">IF(Q$5=12,taux_is*MAX(0,SUMIF($D$4:$AM$4,Q$4,$D72:$AM72)-P74),0)</f>
        <v>0</v>
      </c>
      <c r="R73" s="45" t="n">
        <f aca="false">IF(R$5=12,taux_is*MAX(0,SUMIF($D$4:$AM$4,R$4,$D72:$AM72)-Q74),0)</f>
        <v>0</v>
      </c>
      <c r="S73" s="45" t="n">
        <f aca="false">IF(S$5=12,taux_is*MAX(0,SUMIF($D$4:$AM$4,S$4,$D72:$AM72)-R74),0)</f>
        <v>0</v>
      </c>
      <c r="T73" s="45" t="n">
        <f aca="false">IF(T$5=12,taux_is*MAX(0,SUMIF($D$4:$AM$4,T$4,$D72:$AM72)-S74),0)</f>
        <v>0</v>
      </c>
      <c r="U73" s="45" t="n">
        <f aca="false">IF(U$5=12,taux_is*MAX(0,SUMIF($D$4:$AM$4,U$4,$D72:$AM72)-T74),0)</f>
        <v>0</v>
      </c>
      <c r="V73" s="45" t="n">
        <f aca="false">IF(V$5=12,taux_is*MAX(0,SUMIF($D$4:$AM$4,V$4,$D72:$AM72)-U74),0)</f>
        <v>0</v>
      </c>
      <c r="W73" s="45" t="n">
        <f aca="false">IF(W$5=12,taux_is*MAX(0,SUMIF($D$4:$AM$4,W$4,$D72:$AM72)-V74),0)</f>
        <v>0</v>
      </c>
      <c r="X73" s="45" t="n">
        <f aca="false">IF(X$5=12,taux_is*MAX(0,SUMIF($D$4:$AM$4,X$4,$D72:$AM72)-W74),0)</f>
        <v>0</v>
      </c>
      <c r="Y73" s="45" t="n">
        <f aca="false">IF(Y$5=12,taux_is*MAX(0,SUMIF($D$4:$AM$4,Y$4,$D72:$AM72)-X74),0)</f>
        <v>0</v>
      </c>
      <c r="Z73" s="45" t="n">
        <f aca="false">IF(Z$5=12,taux_is*MAX(0,SUMIF($D$4:$AM$4,Z$4,$D72:$AM72)-Y74),0)</f>
        <v>0</v>
      </c>
      <c r="AA73" s="45" t="n">
        <f aca="false">IF(AA$5=12,taux_is*MAX(0,SUMIF($D$4:$AM$4,AA$4,$D72:$AM72)-Z74),0)</f>
        <v>0</v>
      </c>
      <c r="AB73" s="45" t="n">
        <f aca="false">IF(AB$5=12,taux_is*MAX(0,SUMIF($D$4:$AM$4,AB$4,$D72:$AM72)-AA74),0)</f>
        <v>0</v>
      </c>
      <c r="AC73" s="45" t="n">
        <f aca="false">IF(AC$5=12,taux_is*MAX(0,SUMIF($D$4:$AM$4,AC$4,$D72:$AM72)-AB74),0)</f>
        <v>0</v>
      </c>
      <c r="AD73" s="45" t="n">
        <f aca="false">IF(AD$5=12,taux_is*MAX(0,SUMIF($D$4:$AM$4,AD$4,$D72:$AM72)-AC74),0)</f>
        <v>0</v>
      </c>
      <c r="AE73" s="45" t="n">
        <f aca="false">IF(AE$5=12,taux_is*MAX(0,SUMIF($D$4:$AM$4,AE$4,$D72:$AM72)-AD74),0)</f>
        <v>0</v>
      </c>
      <c r="AF73" s="45" t="n">
        <f aca="false">IF(AF$5=12,taux_is*MAX(0,SUMIF($D$4:$AM$4,AF$4,$D72:$AM72)-AE74),0)</f>
        <v>0</v>
      </c>
      <c r="AG73" s="45" t="n">
        <f aca="false">IF(AG$5=12,taux_is*MAX(0,SUMIF($D$4:$AM$4,AG$4,$D72:$AM72)-AF74),0)</f>
        <v>0</v>
      </c>
      <c r="AH73" s="45" t="n">
        <f aca="false">IF(AH$5=12,taux_is*MAX(0,SUMIF($D$4:$AM$4,AH$4,$D72:$AM72)-AG74),0)</f>
        <v>0</v>
      </c>
      <c r="AI73" s="45" t="n">
        <f aca="false">IF(AI$5=12,taux_is*MAX(0,SUMIF($D$4:$AM$4,AI$4,$D72:$AM72)-AH74),0)</f>
        <v>0</v>
      </c>
      <c r="AJ73" s="45" t="n">
        <f aca="false">IF(AJ$5=12,taux_is*MAX(0,SUMIF($D$4:$AM$4,AJ$4,$D72:$AM72)-AI74),0)</f>
        <v>0</v>
      </c>
      <c r="AK73" s="45" t="n">
        <f aca="false">IF(AK$5=12,taux_is*MAX(0,SUMIF($D$4:$AM$4,AK$4,$D72:$AM72)-AJ74),0)</f>
        <v>0</v>
      </c>
      <c r="AL73" s="45" t="n">
        <f aca="false">IF(AL$5=12,taux_is*MAX(0,SUMIF($D$4:$AM$4,AL$4,$D72:$AM72)-AK74),0)</f>
        <v>0</v>
      </c>
      <c r="AM73" s="45" t="n">
        <f aca="false">IF(AM$5=12,taux_is*MAX(0,SUMIF($D$4:$AM$4,AM$4,$D72:$AM72)-AL74),0)</f>
        <v>0</v>
      </c>
      <c r="AO73" s="45" t="n">
        <f aca="false">SUMIF($D$4:$AM$4,AO$4,$D73:$AM73)</f>
        <v>0</v>
      </c>
      <c r="AP73" s="45" t="n">
        <f aca="false">SUMIF($D$4:$AM$4,AP$4,$D73:$AM73)</f>
        <v>0</v>
      </c>
      <c r="AQ73" s="45" t="n">
        <f aca="false">SUMIF($D$4:$AM$4,AQ$4,$D73:$AM73)</f>
        <v>0</v>
      </c>
    </row>
    <row r="74" customFormat="false" ht="15" hidden="false" customHeight="false" outlineLevel="0" collapsed="false">
      <c r="A74" s="10" t="s">
        <v>428</v>
      </c>
      <c r="B74" s="13" t="s">
        <v>161</v>
      </c>
      <c r="C74" s="50" t="n">
        <v>0</v>
      </c>
      <c r="D74" s="45" t="n">
        <f aca="false">IF(D$5=12,MAX(0,C74-SUMIF($D$4:$AM$4,D$4,$D72:$AM72)),C74)</f>
        <v>0</v>
      </c>
      <c r="E74" s="45" t="n">
        <f aca="false">IF(E$5=12,MAX(0,D74-SUMIF($D$4:$AM$4,E$4,$D72:$AM72)),D74)</f>
        <v>0</v>
      </c>
      <c r="F74" s="45" t="n">
        <f aca="false">IF(F$5=12,MAX(0,E74-SUMIF($D$4:$AM$4,F$4,$D72:$AM72)),E74)</f>
        <v>0</v>
      </c>
      <c r="G74" s="45" t="n">
        <f aca="false">IF(G$5=12,MAX(0,F74-SUMIF($D$4:$AM$4,G$4,$D72:$AM72)),F74)</f>
        <v>0</v>
      </c>
      <c r="H74" s="45" t="n">
        <f aca="false">IF(H$5=12,MAX(0,G74-SUMIF($D$4:$AM$4,H$4,$D72:$AM72)),G74)</f>
        <v>0</v>
      </c>
      <c r="I74" s="45" t="n">
        <f aca="false">IF(I$5=12,MAX(0,H74-SUMIF($D$4:$AM$4,I$4,$D72:$AM72)),H74)</f>
        <v>0</v>
      </c>
      <c r="J74" s="45" t="n">
        <f aca="false">IF(J$5=12,MAX(0,I74-SUMIF($D$4:$AM$4,J$4,$D72:$AM72)),I74)</f>
        <v>0</v>
      </c>
      <c r="K74" s="45" t="n">
        <f aca="false">IF(K$5=12,MAX(0,J74-SUMIF($D$4:$AM$4,K$4,$D72:$AM72)),J74)</f>
        <v>0</v>
      </c>
      <c r="L74" s="45" t="n">
        <f aca="false">IF(L$5=12,MAX(0,K74-SUMIF($D$4:$AM$4,L$4,$D72:$AM72)),K74)</f>
        <v>0</v>
      </c>
      <c r="M74" s="45" t="n">
        <f aca="false">IF(M$5=12,MAX(0,L74-SUMIF($D$4:$AM$4,M$4,$D72:$AM72)),L74)</f>
        <v>0</v>
      </c>
      <c r="N74" s="45" t="n">
        <f aca="false">IF(N$5=12,MAX(0,M74-SUMIF($D$4:$AM$4,N$4,$D72:$AM72)),M74)</f>
        <v>0</v>
      </c>
      <c r="O74" s="45" t="n">
        <f aca="false">IF(O$5=12,MAX(0,N74-SUMIF($D$4:$AM$4,O$4,$D72:$AM72)),N74)</f>
        <v>281824.867046418</v>
      </c>
      <c r="P74" s="45" t="n">
        <f aca="false">IF(P$5=12,MAX(0,O74-SUMIF($D$4:$AM$4,P$4,$D72:$AM72)),O74)</f>
        <v>281824.867046418</v>
      </c>
      <c r="Q74" s="45" t="n">
        <f aca="false">IF(Q$5=12,MAX(0,P74-SUMIF($D$4:$AM$4,Q$4,$D72:$AM72)),P74)</f>
        <v>281824.867046418</v>
      </c>
      <c r="R74" s="45" t="n">
        <f aca="false">IF(R$5=12,MAX(0,Q74-SUMIF($D$4:$AM$4,R$4,$D72:$AM72)),Q74)</f>
        <v>281824.867046418</v>
      </c>
      <c r="S74" s="45" t="n">
        <f aca="false">IF(S$5=12,MAX(0,R74-SUMIF($D$4:$AM$4,S$4,$D72:$AM72)),R74)</f>
        <v>281824.867046418</v>
      </c>
      <c r="T74" s="45" t="n">
        <f aca="false">IF(T$5=12,MAX(0,S74-SUMIF($D$4:$AM$4,T$4,$D72:$AM72)),S74)</f>
        <v>281824.867046418</v>
      </c>
      <c r="U74" s="45" t="n">
        <f aca="false">IF(U$5=12,MAX(0,T74-SUMIF($D$4:$AM$4,U$4,$D72:$AM72)),T74)</f>
        <v>281824.867046418</v>
      </c>
      <c r="V74" s="45" t="n">
        <f aca="false">IF(V$5=12,MAX(0,U74-SUMIF($D$4:$AM$4,V$4,$D72:$AM72)),U74)</f>
        <v>281824.867046418</v>
      </c>
      <c r="W74" s="45" t="n">
        <f aca="false">IF(W$5=12,MAX(0,V74-SUMIF($D$4:$AM$4,W$4,$D72:$AM72)),V74)</f>
        <v>281824.867046418</v>
      </c>
      <c r="X74" s="45" t="n">
        <f aca="false">IF(X$5=12,MAX(0,W74-SUMIF($D$4:$AM$4,X$4,$D72:$AM72)),W74)</f>
        <v>281824.867046418</v>
      </c>
      <c r="Y74" s="45" t="n">
        <f aca="false">IF(Y$5=12,MAX(0,X74-SUMIF($D$4:$AM$4,Y$4,$D72:$AM72)),X74)</f>
        <v>281824.867046418</v>
      </c>
      <c r="Z74" s="45" t="n">
        <f aca="false">IF(Z$5=12,MAX(0,Y74-SUMIF($D$4:$AM$4,Z$4,$D72:$AM72)),Y74)</f>
        <v>281824.867046418</v>
      </c>
      <c r="AA74" s="45" t="n">
        <f aca="false">IF(AA$5=12,MAX(0,Z74-SUMIF($D$4:$AM$4,AA$4,$D72:$AM72)),Z74)</f>
        <v>576095.864361467</v>
      </c>
      <c r="AB74" s="45" t="n">
        <f aca="false">IF(AB$5=12,MAX(0,AA74-SUMIF($D$4:$AM$4,AB$4,$D72:$AM72)),AA74)</f>
        <v>576095.864361467</v>
      </c>
      <c r="AC74" s="45" t="n">
        <f aca="false">IF(AC$5=12,MAX(0,AB74-SUMIF($D$4:$AM$4,AC$4,$D72:$AM72)),AB74)</f>
        <v>576095.864361467</v>
      </c>
      <c r="AD74" s="45" t="n">
        <f aca="false">IF(AD$5=12,MAX(0,AC74-SUMIF($D$4:$AM$4,AD$4,$D72:$AM72)),AC74)</f>
        <v>576095.864361467</v>
      </c>
      <c r="AE74" s="45" t="n">
        <f aca="false">IF(AE$5=12,MAX(0,AD74-SUMIF($D$4:$AM$4,AE$4,$D72:$AM72)),AD74)</f>
        <v>576095.864361467</v>
      </c>
      <c r="AF74" s="45" t="n">
        <f aca="false">IF(AF$5=12,MAX(0,AE74-SUMIF($D$4:$AM$4,AF$4,$D72:$AM72)),AE74)</f>
        <v>576095.864361467</v>
      </c>
      <c r="AG74" s="45" t="n">
        <f aca="false">IF(AG$5=12,MAX(0,AF74-SUMIF($D$4:$AM$4,AG$4,$D72:$AM72)),AF74)</f>
        <v>576095.864361467</v>
      </c>
      <c r="AH74" s="45" t="n">
        <f aca="false">IF(AH$5=12,MAX(0,AG74-SUMIF($D$4:$AM$4,AH$4,$D72:$AM72)),AG74)</f>
        <v>576095.864361467</v>
      </c>
      <c r="AI74" s="45" t="n">
        <f aca="false">IF(AI$5=12,MAX(0,AH74-SUMIF($D$4:$AM$4,AI$4,$D72:$AM72)),AH74)</f>
        <v>576095.864361467</v>
      </c>
      <c r="AJ74" s="45" t="n">
        <f aca="false">IF(AJ$5=12,MAX(0,AI74-SUMIF($D$4:$AM$4,AJ$4,$D72:$AM72)),AI74)</f>
        <v>576095.864361467</v>
      </c>
      <c r="AK74" s="45" t="n">
        <f aca="false">IF(AK$5=12,MAX(0,AJ74-SUMIF($D$4:$AM$4,AK$4,$D72:$AM72)),AJ74)</f>
        <v>576095.864361467</v>
      </c>
      <c r="AL74" s="45" t="n">
        <f aca="false">IF(AL$5=12,MAX(0,AK74-SUMIF($D$4:$AM$4,AL$4,$D72:$AM72)),AK74)</f>
        <v>576095.864361467</v>
      </c>
      <c r="AM74" s="45" t="n">
        <f aca="false">IF(AM$5=12,MAX(0,AL74-SUMIF($D$4:$AM$4,AM$4,$D72:$AM72)),AL74)</f>
        <v>828544.304064998</v>
      </c>
      <c r="AO74" s="45" t="n">
        <f aca="false">INDEX($D74:$AM74,(AO$4-annee_debut)*12+12)</f>
        <v>281824.867046418</v>
      </c>
      <c r="AP74" s="45" t="n">
        <f aca="false">INDEX($D74:$AM74,(AP$4-annee_debut)*12+12)</f>
        <v>576095.864361467</v>
      </c>
      <c r="AQ74" s="45" t="n">
        <f aca="false">INDEX($D74:$AM74,(AQ$4-annee_debut)*12+12)</f>
        <v>828544.304064998</v>
      </c>
    </row>
    <row r="75" customFormat="false" ht="15" hidden="false" customHeight="false" outlineLevel="0" collapsed="false">
      <c r="A75" s="11" t="s">
        <v>228</v>
      </c>
      <c r="B75" s="13" t="s">
        <v>161</v>
      </c>
      <c r="C75" s="50" t="n">
        <v>0</v>
      </c>
      <c r="D75" s="44" t="n">
        <f aca="false">D72-D73</f>
        <v>-22393.1098412698</v>
      </c>
      <c r="E75" s="44" t="n">
        <f aca="false">E72-E73</f>
        <v>-22740.5118412698</v>
      </c>
      <c r="F75" s="44" t="n">
        <f aca="false">F72-F73</f>
        <v>-22127.5907438308</v>
      </c>
      <c r="G75" s="44" t="n">
        <f aca="false">G72-G73</f>
        <v>-26340.6440702107</v>
      </c>
      <c r="H75" s="44" t="n">
        <f aca="false">H72-H73</f>
        <v>-25671.2849935205</v>
      </c>
      <c r="I75" s="44" t="n">
        <f aca="false">I72-I73</f>
        <v>-24961.1731843559</v>
      </c>
      <c r="J75" s="44" t="n">
        <f aca="false">J72-J73</f>
        <v>-24384.9076716707</v>
      </c>
      <c r="K75" s="44" t="n">
        <f aca="false">K72-K73</f>
        <v>-24581.4743845713</v>
      </c>
      <c r="L75" s="44" t="n">
        <f aca="false">L72-L73</f>
        <v>-23063.6846882308</v>
      </c>
      <c r="M75" s="44" t="n">
        <f aca="false">M72-M73</f>
        <v>-22464.2506171961</v>
      </c>
      <c r="N75" s="44" t="n">
        <f aca="false">N72-N73</f>
        <v>-21932.8117176076</v>
      </c>
      <c r="O75" s="44" t="n">
        <f aca="false">O72-O73</f>
        <v>-21163.4232926839</v>
      </c>
      <c r="P75" s="44" t="n">
        <f aca="false">P72-P73</f>
        <v>-27830.4177260906</v>
      </c>
      <c r="Q75" s="44" t="n">
        <f aca="false">Q72-Q73</f>
        <v>-26694.6846992292</v>
      </c>
      <c r="R75" s="44" t="n">
        <f aca="false">R72-R73</f>
        <v>-25246.3743040623</v>
      </c>
      <c r="S75" s="44" t="n">
        <f aca="false">S72-S73</f>
        <v>-24256.6444587805</v>
      </c>
      <c r="T75" s="44" t="n">
        <f aca="false">T72-T73</f>
        <v>-23063.8688616779</v>
      </c>
      <c r="U75" s="44" t="n">
        <f aca="false">U72-U73</f>
        <v>-25674.8917979822</v>
      </c>
      <c r="V75" s="44" t="n">
        <f aca="false">V72-V73</f>
        <v>-25089.6766153603</v>
      </c>
      <c r="W75" s="44" t="n">
        <f aca="false">W72-W73</f>
        <v>-23111.5206809501</v>
      </c>
      <c r="X75" s="44" t="n">
        <f aca="false">X72-X73</f>
        <v>-22851.3750835956</v>
      </c>
      <c r="Y75" s="44" t="n">
        <f aca="false">Y72-Y73</f>
        <v>-22400.0009705536</v>
      </c>
      <c r="Z75" s="44" t="n">
        <f aca="false">Z72-Z73</f>
        <v>-24688.290601228</v>
      </c>
      <c r="AA75" s="44" t="n">
        <f aca="false">AA72-AA73</f>
        <v>-23363.2515155386</v>
      </c>
      <c r="AB75" s="44" t="n">
        <f aca="false">AB72-AB73</f>
        <v>-26211.5331810533</v>
      </c>
      <c r="AC75" s="44" t="n">
        <f aca="false">AC72-AC73</f>
        <v>-24817.4809060832</v>
      </c>
      <c r="AD75" s="44" t="n">
        <f aca="false">AD72-AD73</f>
        <v>-22753.9123323523</v>
      </c>
      <c r="AE75" s="44" t="n">
        <f aca="false">AE72-AE73</f>
        <v>-21494.4851592983</v>
      </c>
      <c r="AF75" s="44" t="n">
        <f aca="false">AF72-AF73</f>
        <v>-19837.8384108737</v>
      </c>
      <c r="AG75" s="44" t="n">
        <f aca="false">AG72-AG73</f>
        <v>-22086.5175030381</v>
      </c>
      <c r="AH75" s="44" t="n">
        <f aca="false">AH72-AH73</f>
        <v>-21666.6418171774</v>
      </c>
      <c r="AI75" s="44" t="n">
        <f aca="false">AI72-AI73</f>
        <v>-21921.0871371179</v>
      </c>
      <c r="AJ75" s="44" t="n">
        <f aca="false">AJ72-AJ73</f>
        <v>-18919.1271133378</v>
      </c>
      <c r="AK75" s="44" t="n">
        <f aca="false">AK72-AK73</f>
        <v>-18521.7176765632</v>
      </c>
      <c r="AL75" s="44" t="n">
        <f aca="false">AL72-AL73</f>
        <v>-18000.9006178467</v>
      </c>
      <c r="AM75" s="44" t="n">
        <f aca="false">AM72-AM73</f>
        <v>-16217.1978487889</v>
      </c>
      <c r="AO75" s="44" t="n">
        <f aca="false">SUMIF($D$4:$AM$4,AO$4,$D75:$AM75)</f>
        <v>-281824.867046418</v>
      </c>
      <c r="AP75" s="44" t="n">
        <f aca="false">SUMIF($D$4:$AM$4,AP$4,$D75:$AM75)</f>
        <v>-294270.997315049</v>
      </c>
      <c r="AQ75" s="44" t="n">
        <f aca="false">SUMIF($D$4:$AM$4,AQ$4,$D75:$AM75)</f>
        <v>-252448.439703531</v>
      </c>
    </row>
    <row r="76" customFormat="false" ht="15" hidden="false" customHeight="false" outlineLevel="0" collapsed="false">
      <c r="A76" s="5" t="s">
        <v>331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</row>
    <row r="77" customFormat="false" ht="15" hidden="false" customHeight="false" outlineLevel="0" collapsed="false">
      <c r="A77" s="10" t="s">
        <v>429</v>
      </c>
      <c r="B77" s="13" t="s">
        <v>161</v>
      </c>
      <c r="C77" s="50" t="n">
        <v>0</v>
      </c>
      <c r="D77" s="45" t="n">
        <f aca="false">D19*delai_clients_p/jours_mois</f>
        <v>891.6</v>
      </c>
      <c r="E77" s="45" t="n">
        <f aca="false">E19*delai_clients_p/jours_mois</f>
        <v>2656.968</v>
      </c>
      <c r="F77" s="45" t="n">
        <f aca="false">F19*delai_clients_p/jours_mois</f>
        <v>4590.7332</v>
      </c>
      <c r="G77" s="45" t="n">
        <f aca="false">G19*delai_clients_p/jours_mois</f>
        <v>6477.89072352</v>
      </c>
      <c r="H77" s="45" t="n">
        <f aca="false">H19*delai_clients_p/jours_mois</f>
        <v>8463.202024704</v>
      </c>
      <c r="I77" s="45" t="n">
        <f aca="false">I19*delai_clients_p/jours_mois</f>
        <v>10503.8521175512</v>
      </c>
      <c r="J77" s="45" t="n">
        <f aca="false">J19*delai_clients_p/jours_mois</f>
        <v>11986.6832245257</v>
      </c>
      <c r="K77" s="45" t="n">
        <f aca="false">K19*delai_clients_p/jours_mois</f>
        <v>10786.2461128602</v>
      </c>
      <c r="L77" s="45" t="n">
        <f aca="false">L19*delai_clients_p/jours_mois</f>
        <v>15370.6345688345</v>
      </c>
      <c r="M77" s="45" t="n">
        <f aca="false">M19*delai_clients_p/jours_mois</f>
        <v>16722.9013086045</v>
      </c>
      <c r="N77" s="45" t="n">
        <f aca="false">N19*delai_clients_p/jours_mois</f>
        <v>17829.436046218</v>
      </c>
      <c r="O77" s="45" t="n">
        <f aca="false">O19*delai_clients_p/jours_mois</f>
        <v>19682.0963196204</v>
      </c>
      <c r="P77" s="45" t="n">
        <f aca="false">P19*delai_clients_p/jours_mois</f>
        <v>20974.2705495409</v>
      </c>
      <c r="Q77" s="45" t="n">
        <f aca="false">Q19*delai_clients_p/jours_mois</f>
        <v>23737.7971385501</v>
      </c>
      <c r="R77" s="45" t="n">
        <f aca="false">R19*delai_clients_p/jours_mois</f>
        <v>27674.0327856235</v>
      </c>
      <c r="S77" s="45" t="n">
        <f aca="false">S19*delai_clients_p/jours_mois</f>
        <v>30991.84932913</v>
      </c>
      <c r="T77" s="45" t="n">
        <f aca="false">T19*delai_clients_p/jours_mois</f>
        <v>34645.1365253994</v>
      </c>
      <c r="U77" s="45" t="n">
        <f aca="false">U19*delai_clients_p/jours_mois</f>
        <v>38385.0516780863</v>
      </c>
      <c r="V77" s="45" t="n">
        <f aca="false">V19*delai_clients_p/jours_mois</f>
        <v>40160.8329589935</v>
      </c>
      <c r="W77" s="45" t="n">
        <f aca="false">W19*delai_clients_p/jours_mois</f>
        <v>33736.1643346439</v>
      </c>
      <c r="X77" s="45" t="n">
        <f aca="false">X19*delai_clients_p/jours_mois</f>
        <v>45458.1078138174</v>
      </c>
      <c r="Y77" s="45" t="n">
        <f aca="false">Y19*delai_clients_p/jours_mois</f>
        <v>47211.3218342971</v>
      </c>
      <c r="Z77" s="45" t="n">
        <f aca="false">Z19*delai_clients_p/jours_mois</f>
        <v>48398.0446174426</v>
      </c>
      <c r="AA77" s="45" t="n">
        <f aca="false">AA19*delai_clients_p/jours_mois</f>
        <v>51661.8587841372</v>
      </c>
      <c r="AB77" s="45" t="n">
        <f aca="false">AB19*delai_clients_p/jours_mois</f>
        <v>52199.5602450541</v>
      </c>
      <c r="AC77" s="45" t="n">
        <f aca="false">AC19*delai_clients_p/jours_mois</f>
        <v>55329.861920153</v>
      </c>
      <c r="AD77" s="45" t="n">
        <f aca="false">AD19*delai_clients_p/jours_mois</f>
        <v>61109.1534377666</v>
      </c>
      <c r="AE77" s="45" t="n">
        <f aca="false">AE19*delai_clients_p/jours_mois</f>
        <v>65395.5659604098</v>
      </c>
      <c r="AF77" s="45" t="n">
        <f aca="false">AF19*delai_clients_p/jours_mois</f>
        <v>70326.1005625574</v>
      </c>
      <c r="AG77" s="45" t="n">
        <f aca="false">AG19*delai_clients_p/jours_mois</f>
        <v>75354.760378395</v>
      </c>
      <c r="AH77" s="45" t="n">
        <f aca="false">AH19*delai_clients_p/jours_mois</f>
        <v>76573.8399018801</v>
      </c>
      <c r="AI77" s="45" t="n">
        <f aca="false">AI19*delai_clients_p/jours_mois</f>
        <v>62693.2950994425</v>
      </c>
      <c r="AJ77" s="45" t="n">
        <f aca="false">AJ19*delai_clients_p/jours_mois</f>
        <v>82574.1687633657</v>
      </c>
      <c r="AK77" s="45" t="n">
        <f aca="false">AK19*delai_clients_p/jours_mois</f>
        <v>84031.8136824189</v>
      </c>
      <c r="AL77" s="45" t="n">
        <f aca="false">AL19*delai_clients_p/jours_mois</f>
        <v>84583.6548990216</v>
      </c>
      <c r="AM77" s="45" t="n">
        <f aca="false">AM19*delai_clients_p/jours_mois</f>
        <v>88808.8978525838</v>
      </c>
      <c r="AO77" s="45" t="n">
        <f aca="false">INDEX($D77:$AM77,(AO$4-annee_debut)*12+12)</f>
        <v>19682.0963196204</v>
      </c>
      <c r="AP77" s="45" t="n">
        <f aca="false">INDEX($D77:$AM77,(AP$4-annee_debut)*12+12)</f>
        <v>51661.8587841372</v>
      </c>
      <c r="AQ77" s="45" t="n">
        <f aca="false">INDEX($D77:$AM77,(AQ$4-annee_debut)*12+12)</f>
        <v>88808.8978525838</v>
      </c>
    </row>
    <row r="78" customFormat="false" ht="15" hidden="false" customHeight="false" outlineLevel="0" collapsed="false">
      <c r="A78" s="10" t="s">
        <v>430</v>
      </c>
      <c r="B78" s="13" t="s">
        <v>161</v>
      </c>
      <c r="C78" s="50" t="n">
        <v>0</v>
      </c>
      <c r="D78" s="45" t="n">
        <f aca="false">(D24+D47)*delai_fournisseurs/jours_mois</f>
        <v>9296.24</v>
      </c>
      <c r="E78" s="45" t="n">
        <f aca="false">(E24+E47)*delai_fournisseurs/jours_mois</f>
        <v>9783.7952</v>
      </c>
      <c r="F78" s="45" t="n">
        <f aca="false">(F24+F47)*delai_fournisseurs/jours_mois</f>
        <v>10325.36768</v>
      </c>
      <c r="G78" s="45" t="n">
        <f aca="false">(G24+G47)*delai_fournisseurs/jours_mois</f>
        <v>10853.625532928</v>
      </c>
      <c r="H78" s="45" t="n">
        <f aca="false">(H24+H47)*delai_fournisseurs/jours_mois</f>
        <v>11413.8598758656</v>
      </c>
      <c r="I78" s="45" t="n">
        <f aca="false">(I24+I47)*delai_fournisseurs/jours_mois</f>
        <v>11992.6427548725</v>
      </c>
      <c r="J78" s="45" t="n">
        <f aca="false">(J24+J47)*delai_fournisseurs/jours_mois</f>
        <v>12398.0046247813</v>
      </c>
      <c r="K78" s="45" t="n">
        <f aca="false">(K24+K47)*delai_fournisseurs/jours_mois</f>
        <v>11964.5634531701</v>
      </c>
      <c r="L78" s="45" t="n">
        <f aca="false">(L24+L47)*delai_fournisseurs/jours_mois</f>
        <v>13343.17724164</v>
      </c>
      <c r="M78" s="45" t="n">
        <f aca="false">(M24+M47)*delai_fournisseurs/jours_mois</f>
        <v>13711.1263882966</v>
      </c>
      <c r="N78" s="45" t="n">
        <f aca="false">(N24+N47)*delai_fournisseurs/jours_mois</f>
        <v>14003.25811702</v>
      </c>
      <c r="O78" s="45" t="n">
        <f aca="false">(O24+O47)*delai_fournisseurs/jours_mois</f>
        <v>14530.0448137732</v>
      </c>
      <c r="P78" s="45" t="n">
        <f aca="false">(P24+P47)*delai_fournisseurs/jours_mois</f>
        <v>15533.6249216229</v>
      </c>
      <c r="Q78" s="45" t="n">
        <f aca="false">(Q24+Q47)*delai_fournisseurs/jours_mois</f>
        <v>16296.8492231904</v>
      </c>
      <c r="R78" s="45" t="n">
        <f aca="false">(R24+R47)*delai_fournisseurs/jours_mois</f>
        <v>17429.2200407649</v>
      </c>
      <c r="S78" s="45" t="n">
        <f aca="false">(S24+S47)*delai_fournisseurs/jours_mois</f>
        <v>18369.9956327485</v>
      </c>
      <c r="T78" s="45" t="n">
        <f aca="false">(T24+T47)*delai_fournisseurs/jours_mois</f>
        <v>19417.7450295081</v>
      </c>
      <c r="U78" s="45" t="n">
        <f aca="false">(U24+U47)*delai_fournisseurs/jours_mois</f>
        <v>21259.5305097442</v>
      </c>
      <c r="V78" s="45" t="n">
        <f aca="false">(V24+V47)*delai_fournisseurs/jours_mois</f>
        <v>21723.3361023396</v>
      </c>
      <c r="W78" s="45" t="n">
        <f aca="false">(W24+W47)*delai_fournisseurs/jours_mois</f>
        <v>18856.8861564135</v>
      </c>
      <c r="X78" s="45" t="n">
        <f aca="false">(X24+X47)*delai_fournisseurs/jours_mois</f>
        <v>23202.9197686869</v>
      </c>
      <c r="Y78" s="45" t="n">
        <f aca="false">(Y24+Y47)*delai_fournisseurs/jours_mois</f>
        <v>23665.0765242977</v>
      </c>
      <c r="Z78" s="45" t="n">
        <f aca="false">(Z24+Z47)*delai_fournisseurs/jours_mois</f>
        <v>23951.630401759</v>
      </c>
      <c r="AA78" s="45" t="n">
        <f aca="false">(AA24+AA47)*delai_fournisseurs/jours_mois</f>
        <v>24890.1030295983</v>
      </c>
      <c r="AB78" s="45" t="n">
        <f aca="false">(AB24+AB47)*delai_fournisseurs/jours_mois</f>
        <v>25652.672304556</v>
      </c>
      <c r="AC78" s="45" t="n">
        <f aca="false">(AC24+AC47)*delai_fournisseurs/jours_mois</f>
        <v>26517.1916904649</v>
      </c>
      <c r="AD78" s="45" t="n">
        <f aca="false">(AD24+AD47)*delai_fournisseurs/jours_mois</f>
        <v>28213.2680933217</v>
      </c>
      <c r="AE78" s="45" t="n">
        <f aca="false">(AE24+AE47)*delai_fournisseurs/jours_mois</f>
        <v>29444.2703252843</v>
      </c>
      <c r="AF78" s="45" t="n">
        <f aca="false">(AF24+AF47)*delai_fournisseurs/jours_mois</f>
        <v>30879.1273985074</v>
      </c>
      <c r="AG78" s="45" t="n">
        <f aca="false">(AG24+AG47)*delai_fournisseurs/jours_mois</f>
        <v>33127.1742224955</v>
      </c>
      <c r="AH78" s="45" t="n">
        <f aca="false">(AH24+AH47)*delai_fournisseurs/jours_mois</f>
        <v>33404.4856277665</v>
      </c>
      <c r="AI78" s="45" t="n">
        <f aca="false">(AI24+AI47)*delai_fournisseurs/jours_mois</f>
        <v>28176.744383399</v>
      </c>
      <c r="AJ78" s="45" t="n">
        <f aca="false">(AJ24+AJ47)*delai_fournisseurs/jours_mois</f>
        <v>35080.439551147</v>
      </c>
      <c r="AK78" s="45" t="n">
        <f aca="false">(AK24+AK47)*delai_fournisseurs/jours_mois</f>
        <v>35438.5667653026</v>
      </c>
      <c r="AL78" s="45" t="n">
        <f aca="false">(AL24+AL47)*delai_fournisseurs/jours_mois</f>
        <v>35515.1016182491</v>
      </c>
      <c r="AM78" s="45" t="n">
        <f aca="false">(AM24+AM47)*delai_fournisseurs/jours_mois</f>
        <v>36743.4952368018</v>
      </c>
      <c r="AO78" s="45" t="n">
        <f aca="false">INDEX($D78:$AM78,(AO$4-annee_debut)*12+12)</f>
        <v>14530.0448137732</v>
      </c>
      <c r="AP78" s="45" t="n">
        <f aca="false">INDEX($D78:$AM78,(AP$4-annee_debut)*12+12)</f>
        <v>24890.1030295983</v>
      </c>
      <c r="AQ78" s="45" t="n">
        <f aca="false">INDEX($D78:$AM78,(AQ$4-annee_debut)*12+12)</f>
        <v>36743.4952368018</v>
      </c>
    </row>
    <row r="79" customFormat="false" ht="15" hidden="false" customHeight="false" outlineLevel="0" collapsed="false">
      <c r="A79" s="10" t="s">
        <v>306</v>
      </c>
      <c r="B79" s="13" t="s">
        <v>161</v>
      </c>
      <c r="C79" s="50" t="n">
        <v>0</v>
      </c>
      <c r="D79" s="45" t="n">
        <f aca="false">(D77-C77)-(D78-C78)</f>
        <v>-8404.64</v>
      </c>
      <c r="E79" s="45" t="n">
        <f aca="false">(E77-D77)-(E78-D78)</f>
        <v>1277.8128</v>
      </c>
      <c r="F79" s="45" t="n">
        <f aca="false">(F77-E77)-(F78-E78)</f>
        <v>1392.19272</v>
      </c>
      <c r="G79" s="45" t="n">
        <f aca="false">(G77-F77)-(G78-F78)</f>
        <v>1358.899670592</v>
      </c>
      <c r="H79" s="45" t="n">
        <f aca="false">(H77-G77)-(H78-G78)</f>
        <v>1425.0769582464</v>
      </c>
      <c r="I79" s="45" t="n">
        <f aca="false">(I77-H77)-(I78-H78)</f>
        <v>1461.86721384031</v>
      </c>
      <c r="J79" s="45" t="n">
        <f aca="false">(J77-I77)-(J78-I78)</f>
        <v>1077.46923706569</v>
      </c>
      <c r="K79" s="45" t="n">
        <f aca="false">(K77-J77)-(K78-J78)</f>
        <v>-766.995940054212</v>
      </c>
      <c r="L79" s="45" t="n">
        <f aca="false">(L77-K77)-(L78-K78)</f>
        <v>3205.77466750433</v>
      </c>
      <c r="M79" s="45" t="n">
        <f aca="false">(M77-L77)-(M78-L78)</f>
        <v>984.317593113379</v>
      </c>
      <c r="N79" s="45" t="n">
        <f aca="false">(N77-M77)-(N78-M78)</f>
        <v>814.403008890022</v>
      </c>
      <c r="O79" s="45" t="n">
        <f aca="false">(O77-N77)-(O78-N78)</f>
        <v>1325.8735766492</v>
      </c>
      <c r="P79" s="45" t="n">
        <f aca="false">(P77-O77)-(P78-O78)</f>
        <v>288.594122070923</v>
      </c>
      <c r="Q79" s="45" t="n">
        <f aca="false">(Q77-P77)-(Q78-P78)</f>
        <v>2000.30228744164</v>
      </c>
      <c r="R79" s="45" t="n">
        <f aca="false">(R77-Q77)-(R78-Q78)</f>
        <v>2803.86482949895</v>
      </c>
      <c r="S79" s="45" t="n">
        <f aca="false">(S77-R77)-(S78-R78)</f>
        <v>2377.04095152284</v>
      </c>
      <c r="T79" s="45" t="n">
        <f aca="false">(T77-S77)-(T78-S78)</f>
        <v>2605.53779950979</v>
      </c>
      <c r="U79" s="45" t="n">
        <f aca="false">(U77-T77)-(U78-T78)</f>
        <v>1898.12967245084</v>
      </c>
      <c r="V79" s="45" t="n">
        <f aca="false">(V77-U77)-(V78-U78)</f>
        <v>1311.97568831186</v>
      </c>
      <c r="W79" s="45" t="n">
        <f aca="false">(W77-V77)-(W78-V78)</f>
        <v>-3558.21867842361</v>
      </c>
      <c r="X79" s="45" t="n">
        <f aca="false">(X77-W77)-(X78-W78)</f>
        <v>7375.90986690011</v>
      </c>
      <c r="Y79" s="45" t="n">
        <f aca="false">(Y77-X77)-(Y78-X78)</f>
        <v>1291.05726486897</v>
      </c>
      <c r="Z79" s="45" t="n">
        <f aca="false">(Z77-Y77)-(Z78-Y78)</f>
        <v>900.168905684197</v>
      </c>
      <c r="AA79" s="45" t="n">
        <f aca="false">(AA77-Z77)-(AA78-Z78)</f>
        <v>2325.34153885531</v>
      </c>
      <c r="AB79" s="45" t="n">
        <f aca="false">(AB77-AA77)-(AB78-AA78)</f>
        <v>-224.86781404083</v>
      </c>
      <c r="AC79" s="45" t="n">
        <f aca="false">(AC77-AB77)-(AC78-AB78)</f>
        <v>2265.78228919004</v>
      </c>
      <c r="AD79" s="45" t="n">
        <f aca="false">(AD77-AC77)-(AD78-AC78)</f>
        <v>4083.21511475681</v>
      </c>
      <c r="AE79" s="45" t="n">
        <f aca="false">(AE77-AD77)-(AE78-AD78)</f>
        <v>3055.41029068052</v>
      </c>
      <c r="AF79" s="45" t="n">
        <f aca="false">(AF77-AE77)-(AF78-AE78)</f>
        <v>3495.67752892452</v>
      </c>
      <c r="AG79" s="45" t="n">
        <f aca="false">(AG77-AF77)-(AG78-AF78)</f>
        <v>2780.61299184952</v>
      </c>
      <c r="AH79" s="45" t="n">
        <f aca="false">(AH77-AG77)-(AH78-AG78)</f>
        <v>941.768118214102</v>
      </c>
      <c r="AI79" s="45" t="n">
        <f aca="false">(AI77-AH77)-(AI78-AH78)</f>
        <v>-8652.80355807011</v>
      </c>
      <c r="AJ79" s="45" t="n">
        <f aca="false">(AJ77-AI77)-(AJ78-AI78)</f>
        <v>12977.1784961752</v>
      </c>
      <c r="AK79" s="45" t="n">
        <f aca="false">(AK77-AJ77)-(AK78-AJ78)</f>
        <v>1099.51770489752</v>
      </c>
      <c r="AL79" s="45" t="n">
        <f aca="false">(AL77-AK77)-(AL78-AK78)</f>
        <v>475.30636365628</v>
      </c>
      <c r="AM79" s="45" t="n">
        <f aca="false">(AM77-AL77)-(AM78-AL78)</f>
        <v>2996.84933500947</v>
      </c>
      <c r="AO79" s="45" t="n">
        <f aca="false">SUMIF($D$4:$AM$4,AO$4,$D79:$AM79)</f>
        <v>5152.05150584712</v>
      </c>
      <c r="AP79" s="45" t="n">
        <f aca="false">SUMIF($D$4:$AM$4,AP$4,$D79:$AM79)</f>
        <v>21619.7042486918</v>
      </c>
      <c r="AQ79" s="45" t="n">
        <f aca="false">SUMIF($D$4:$AM$4,AQ$4,$D79:$AM79)</f>
        <v>25293.6468612431</v>
      </c>
    </row>
    <row r="80" customFormat="false" ht="15" hidden="false" customHeight="false" outlineLevel="0" collapsed="false">
      <c r="A80" s="10" t="s">
        <v>288</v>
      </c>
      <c r="B80" s="13" t="s">
        <v>161</v>
      </c>
      <c r="C80" s="50" t="n">
        <v>0</v>
      </c>
      <c r="D80" s="45" t="n">
        <f aca="false">D19-(D77-C77)</f>
        <v>-297.2</v>
      </c>
      <c r="E80" s="45" t="n">
        <f aca="false">E19-(E77-D77)</f>
        <v>5.94399999999996</v>
      </c>
      <c r="F80" s="45" t="n">
        <f aca="false">F19-(F77-E77)</f>
        <v>1126.7236</v>
      </c>
      <c r="G80" s="45" t="n">
        <f aca="false">G19-(G77-F77)</f>
        <v>2431.43629216</v>
      </c>
      <c r="H80" s="45" t="n">
        <f aca="false">H19-(H77-G77)</f>
        <v>3656.823381952</v>
      </c>
      <c r="I80" s="45" t="n">
        <f aca="false">I19-(I77-H77)</f>
        <v>4961.91798552026</v>
      </c>
      <c r="J80" s="45" t="n">
        <f aca="false">J19-(J77-I77)</f>
        <v>6508.29104270933</v>
      </c>
      <c r="K80" s="45" t="n">
        <f aca="false">K19-(K77-J77)</f>
        <v>8391.26785357231</v>
      </c>
      <c r="L80" s="45" t="n">
        <f aca="false">L19-(L77-K77)</f>
        <v>5662.70125658207</v>
      </c>
      <c r="M80" s="45" t="n">
        <f aca="false">M19-(M77-L77)</f>
        <v>9796.33413263301</v>
      </c>
      <c r="N80" s="45" t="n">
        <f aca="false">N19-(N77-M77)</f>
        <v>10779.7559598652</v>
      </c>
      <c r="O80" s="45" t="n">
        <f aca="false">O19-(O77-N77)</f>
        <v>11268.7372730112</v>
      </c>
      <c r="P80" s="45" t="n">
        <f aca="false">P19-(P77-O77)</f>
        <v>12690.6728031067</v>
      </c>
      <c r="Q80" s="45" t="n">
        <f aca="false">Q19-(Q77-P77)</f>
        <v>13061.6715033576</v>
      </c>
      <c r="R80" s="45" t="n">
        <f aca="false">R19-(R77-Q77)</f>
        <v>14513.1195433423</v>
      </c>
      <c r="S80" s="45" t="n">
        <f aca="false">S19-(S77-R77)</f>
        <v>17343.4163425801</v>
      </c>
      <c r="T80" s="45" t="n">
        <f aca="false">T19-(T77-S77)</f>
        <v>19443.4704873302</v>
      </c>
      <c r="U80" s="45" t="n">
        <f aca="false">U19-(U77-T77)</f>
        <v>21850.1192993706</v>
      </c>
      <c r="V80" s="45" t="n">
        <f aca="false">V19-(V77-U77)</f>
        <v>24998.1073584217</v>
      </c>
      <c r="W80" s="45" t="n">
        <f aca="false">W19-(W77-V77)</f>
        <v>28915.4448474456</v>
      </c>
      <c r="X80" s="45" t="n">
        <f aca="false">X19-(X77-W77)</f>
        <v>18583.4617300381</v>
      </c>
      <c r="Y80" s="45" t="n">
        <f aca="false">Y19-(Y77-X77)</f>
        <v>29721.0005357183</v>
      </c>
      <c r="Z80" s="45" t="n">
        <f aca="false">Z19-(Z77-Y77)</f>
        <v>31078.6402951496</v>
      </c>
      <c r="AA80" s="45" t="n">
        <f aca="false">AA19-(AA77-Z77)</f>
        <v>31177.4250227302</v>
      </c>
      <c r="AB80" s="45" t="n">
        <f aca="false">AB19-(AB77-AA77)</f>
        <v>34262.0053691192</v>
      </c>
      <c r="AC80" s="45" t="n">
        <f aca="false">AC19-(AC77-AB77)</f>
        <v>33756.2729383364</v>
      </c>
      <c r="AD80" s="45" t="n">
        <f aca="false">AD19-(AD77-AC77)</f>
        <v>34960.1441075641</v>
      </c>
      <c r="AE80" s="45" t="n">
        <f aca="false">AE19-(AE77-AD77)</f>
        <v>39310.6314509633</v>
      </c>
      <c r="AF80" s="45" t="n">
        <f aca="false">AF19-(AF77-AE77)</f>
        <v>41953.5324395573</v>
      </c>
      <c r="AG80" s="45" t="n">
        <f aca="false">AG19-(AG77-AF77)</f>
        <v>45207.8471030924</v>
      </c>
      <c r="AH80" s="45" t="n">
        <f aca="false">AH19-(AH77-AG77)</f>
        <v>49830.1470777683</v>
      </c>
      <c r="AI80" s="45" t="n">
        <f aca="false">AI19-(AI77-AH77)</f>
        <v>55676.0748687326</v>
      </c>
      <c r="AJ80" s="45" t="n">
        <f aca="false">AJ19-(AJ77-AI77)</f>
        <v>35168.5721783206</v>
      </c>
      <c r="AK80" s="45" t="n">
        <f aca="false">AK19-(AK77-AJ77)</f>
        <v>54563.5642025594</v>
      </c>
      <c r="AL80" s="45" t="n">
        <f aca="false">AL19-(AL77-AK77)</f>
        <v>55837.2620494117</v>
      </c>
      <c r="AM80" s="45" t="n">
        <f aca="false">AM19-(AM77-AL77)</f>
        <v>54980.6889481604</v>
      </c>
      <c r="AO80" s="45" t="n">
        <f aca="false">SUMIF($D$4:$AM$4,AO$4,$D80:$AM80)</f>
        <v>64292.7327780053</v>
      </c>
      <c r="AP80" s="45" t="n">
        <f aca="false">SUMIF($D$4:$AM$4,AP$4,$D80:$AM80)</f>
        <v>263376.549768591</v>
      </c>
      <c r="AQ80" s="45" t="n">
        <f aca="false">SUMIF($D$4:$AM$4,AQ$4,$D80:$AM80)</f>
        <v>535506.742733586</v>
      </c>
    </row>
    <row r="81" customFormat="false" ht="15" hidden="false" customHeight="false" outlineLevel="0" collapsed="false">
      <c r="A81" s="10" t="s">
        <v>431</v>
      </c>
      <c r="B81" s="13" t="s">
        <v>161</v>
      </c>
      <c r="C81" s="50" t="n">
        <v>0</v>
      </c>
      <c r="D81" s="45" t="n">
        <f aca="false">D24+D47-(D78-C78)</f>
        <v>0</v>
      </c>
      <c r="E81" s="45" t="n">
        <f aca="false">E24+E47-(E78-D78)</f>
        <v>9296.24</v>
      </c>
      <c r="F81" s="45" t="n">
        <f aca="false">F24+F47-(F78-E78)</f>
        <v>9783.7952</v>
      </c>
      <c r="G81" s="45" t="n">
        <f aca="false">G24+G47-(G78-F78)</f>
        <v>10325.36768</v>
      </c>
      <c r="H81" s="45" t="n">
        <f aca="false">H24+H47-(H78-G78)</f>
        <v>10853.625532928</v>
      </c>
      <c r="I81" s="45" t="n">
        <f aca="false">I24+I47-(I78-H78)</f>
        <v>11413.8598758656</v>
      </c>
      <c r="J81" s="45" t="n">
        <f aca="false">J24+J47-(J78-I78)</f>
        <v>11992.6427548725</v>
      </c>
      <c r="K81" s="45" t="n">
        <f aca="false">K24+K47-(K78-J78)</f>
        <v>12398.0046247813</v>
      </c>
      <c r="L81" s="45" t="n">
        <f aca="false">L24+L47-(L78-K78)</f>
        <v>11964.5634531701</v>
      </c>
      <c r="M81" s="45" t="n">
        <f aca="false">M24+M47-(M78-L78)</f>
        <v>13343.17724164</v>
      </c>
      <c r="N81" s="45" t="n">
        <f aca="false">N24+N47-(N78-M78)</f>
        <v>13711.1263882966</v>
      </c>
      <c r="O81" s="45" t="n">
        <f aca="false">O24+O47-(O78-N78)</f>
        <v>14003.25811702</v>
      </c>
      <c r="P81" s="45" t="n">
        <f aca="false">P24+P47-(P78-O78)</f>
        <v>14530.0448137732</v>
      </c>
      <c r="Q81" s="45" t="n">
        <f aca="false">Q24+Q47-(Q78-P78)</f>
        <v>15533.6249216229</v>
      </c>
      <c r="R81" s="45" t="n">
        <f aca="false">R24+R47-(R78-Q78)</f>
        <v>16296.8492231904</v>
      </c>
      <c r="S81" s="45" t="n">
        <f aca="false">S24+S47-(S78-R78)</f>
        <v>17429.2200407649</v>
      </c>
      <c r="T81" s="45" t="n">
        <f aca="false">T24+T47-(T78-S78)</f>
        <v>18369.9956327485</v>
      </c>
      <c r="U81" s="45" t="n">
        <f aca="false">U24+U47-(U78-T78)</f>
        <v>19417.7450295081</v>
      </c>
      <c r="V81" s="45" t="n">
        <f aca="false">V24+V47-(V78-U78)</f>
        <v>21259.5305097442</v>
      </c>
      <c r="W81" s="45" t="n">
        <f aca="false">W24+W47-(W78-V78)</f>
        <v>21723.3361023396</v>
      </c>
      <c r="X81" s="45" t="n">
        <f aca="false">X24+X47-(X78-W78)</f>
        <v>18856.8861564135</v>
      </c>
      <c r="Y81" s="45" t="n">
        <f aca="false">Y24+Y47-(Y78-X78)</f>
        <v>23202.9197686869</v>
      </c>
      <c r="Z81" s="45" t="n">
        <f aca="false">Z24+Z47-(Z78-Y78)</f>
        <v>23665.0765242977</v>
      </c>
      <c r="AA81" s="45" t="n">
        <f aca="false">AA24+AA47-(AA78-Z78)</f>
        <v>23951.630401759</v>
      </c>
      <c r="AB81" s="45" t="n">
        <f aca="false">AB24+AB47-(AB78-AA78)</f>
        <v>24890.1030295983</v>
      </c>
      <c r="AC81" s="45" t="n">
        <f aca="false">AC24+AC47-(AC78-AB78)</f>
        <v>25652.672304556</v>
      </c>
      <c r="AD81" s="45" t="n">
        <f aca="false">AD24+AD47-(AD78-AC78)</f>
        <v>26517.1916904649</v>
      </c>
      <c r="AE81" s="45" t="n">
        <f aca="false">AE24+AE47-(AE78-AD78)</f>
        <v>28213.2680933217</v>
      </c>
      <c r="AF81" s="45" t="n">
        <f aca="false">AF24+AF47-(AF78-AE78)</f>
        <v>29444.2703252843</v>
      </c>
      <c r="AG81" s="45" t="n">
        <f aca="false">AG24+AG47-(AG78-AF78)</f>
        <v>30879.1273985074</v>
      </c>
      <c r="AH81" s="45" t="n">
        <f aca="false">AH24+AH47-(AH78-AG78)</f>
        <v>33127.1742224955</v>
      </c>
      <c r="AI81" s="45" t="n">
        <f aca="false">AI24+AI47-(AI78-AH78)</f>
        <v>33404.4856277665</v>
      </c>
      <c r="AJ81" s="45" t="n">
        <f aca="false">AJ24+AJ47-(AJ78-AI78)</f>
        <v>28176.744383399</v>
      </c>
      <c r="AK81" s="45" t="n">
        <f aca="false">AK24+AK47-(AK78-AJ78)</f>
        <v>35080.439551147</v>
      </c>
      <c r="AL81" s="45" t="n">
        <f aca="false">AL24+AL47-(AL78-AK78)</f>
        <v>35438.5667653026</v>
      </c>
      <c r="AM81" s="45" t="n">
        <f aca="false">AM24+AM47-(AM78-AL78)</f>
        <v>35515.1016182491</v>
      </c>
      <c r="AO81" s="45" t="n">
        <f aca="false">SUMIF($D$4:$AM$4,AO$4,$D81:$AM81)</f>
        <v>129085.660868574</v>
      </c>
      <c r="AP81" s="45" t="n">
        <f aca="false">SUMIF($D$4:$AM$4,AP$4,$D81:$AM81)</f>
        <v>234236.859124849</v>
      </c>
      <c r="AQ81" s="45" t="n">
        <f aca="false">SUMIF($D$4:$AM$4,AQ$4,$D81:$AM81)</f>
        <v>366339.145010092</v>
      </c>
    </row>
    <row r="82" customFormat="false" ht="15" hidden="false" customHeight="false" outlineLevel="0" collapsed="false">
      <c r="A82" s="11" t="s">
        <v>432</v>
      </c>
      <c r="B82" s="13" t="s">
        <v>161</v>
      </c>
      <c r="C82" s="50" t="n">
        <v>0</v>
      </c>
      <c r="D82" s="44" t="n">
        <f aca="false">D48-D79-D73</f>
        <v>-11130.5333333333</v>
      </c>
      <c r="E82" s="44" t="n">
        <f aca="false">E48-E79-E73</f>
        <v>-20123.6293333333</v>
      </c>
      <c r="F82" s="44" t="n">
        <f aca="false">F48-F79-F73</f>
        <v>-19490.4049333333</v>
      </c>
      <c r="G82" s="44" t="n">
        <f aca="false">G48-G79-G73</f>
        <v>-23560.5980545067</v>
      </c>
      <c r="H82" s="44" t="n">
        <f aca="false">H48-H79-H73</f>
        <v>-22863.4688176427</v>
      </c>
      <c r="I82" s="44" t="n">
        <f aca="false">I48-I79-I73</f>
        <v>-22118.608557012</v>
      </c>
      <c r="J82" s="44" t="n">
        <f aca="false">J48-J79-J73</f>
        <v>-21151.0183788299</v>
      </c>
      <c r="K82" s="44" t="n">
        <f aca="false">K48-K79-K73</f>
        <v>-19673.4034378757</v>
      </c>
      <c r="L82" s="44" t="n">
        <f aca="false">L48-L79-L73</f>
        <v>-21968.5288632546</v>
      </c>
      <c r="M82" s="44" t="n">
        <f aca="false">M48-M79-M73</f>
        <v>-19213.5097756736</v>
      </c>
      <c r="N82" s="44" t="n">
        <f aca="false">N48-N79-N73</f>
        <v>-18598.0370950981</v>
      </c>
      <c r="O82" s="44" t="n">
        <f aca="false">O48-O79-O73</f>
        <v>-18401.1875106755</v>
      </c>
      <c r="P82" s="44" t="n">
        <f aca="false">P48-P79-P73</f>
        <v>-24139.3720106665</v>
      </c>
      <c r="Q82" s="44" t="n">
        <f aca="false">Q48-Q79-Q73</f>
        <v>-24771.9534182653</v>
      </c>
      <c r="R82" s="44" t="n">
        <f aca="false">R48-R79-R73</f>
        <v>-24083.7296798481</v>
      </c>
      <c r="S82" s="44" t="n">
        <f aca="false">S48-S79-S73</f>
        <v>-22385.8036981847</v>
      </c>
      <c r="T82" s="44" t="n">
        <f aca="false">T48-T79-T73</f>
        <v>-21226.5251454183</v>
      </c>
      <c r="U82" s="44" t="n">
        <f aca="false">U48-U79-U73</f>
        <v>-22927.6257301375</v>
      </c>
      <c r="V82" s="44" t="n">
        <f aca="false">V48-V79-V73</f>
        <v>-21621.4231513224</v>
      </c>
      <c r="W82" s="44" t="n">
        <f aca="false">W48-W79-W73</f>
        <v>-15107.891254894</v>
      </c>
      <c r="X82" s="44" t="n">
        <f aca="false">X48-X79-X73</f>
        <v>-25633.4244263754</v>
      </c>
      <c r="Y82" s="44" t="n">
        <f aca="false">Y48-Y79-Y73</f>
        <v>-18841.9192329686</v>
      </c>
      <c r="Z82" s="44" t="n">
        <f aca="false">Z48-Z79-Z73</f>
        <v>-20836.4362291481</v>
      </c>
      <c r="AA82" s="44" t="n">
        <f aca="false">AA48-AA79-AA73</f>
        <v>-21024.2053790288</v>
      </c>
      <c r="AB82" s="44" t="n">
        <f aca="false">AB48-AB79-AB73</f>
        <v>-21303.0976604791</v>
      </c>
      <c r="AC82" s="44" t="n">
        <f aca="false">AC48-AC79-AC73</f>
        <v>-22571.3993662196</v>
      </c>
      <c r="AD82" s="44" t="n">
        <f aca="false">AD48-AD79-AD73</f>
        <v>-22232.0475829007</v>
      </c>
      <c r="AE82" s="44" t="n">
        <f aca="false">AE48-AE79-AE73</f>
        <v>-19577.6366423583</v>
      </c>
      <c r="AF82" s="44" t="n">
        <f aca="false">AF48-AF79-AF73</f>
        <v>-18165.737885727</v>
      </c>
      <c r="AG82" s="44" t="n">
        <f aca="false">AG48-AG79-AG73</f>
        <v>-19467.480295415</v>
      </c>
      <c r="AH82" s="44" t="n">
        <f aca="false">AH48-AH79-AH73</f>
        <v>-17093.2271447272</v>
      </c>
      <c r="AI82" s="44" t="n">
        <f aca="false">AI48-AI79-AI73</f>
        <v>-8403.41075903389</v>
      </c>
      <c r="AJ82" s="44" t="n">
        <f aca="false">AJ48-AJ79-AJ73</f>
        <v>-26804.3722050784</v>
      </c>
      <c r="AK82" s="44" t="n">
        <f aca="false">AK48-AK79-AK73</f>
        <v>-14313.0753485876</v>
      </c>
      <c r="AL82" s="44" t="n">
        <f aca="false">AL48-AL79-AL73</f>
        <v>-13397.504715891</v>
      </c>
      <c r="AM82" s="44" t="n">
        <f aca="false">AM48-AM79-AM73</f>
        <v>-14330.6126700887</v>
      </c>
      <c r="AO82" s="44" t="n">
        <f aca="false">SUMIF($D$4:$AM$4,AO$4,$D82:$AM82)</f>
        <v>-238292.928090569</v>
      </c>
      <c r="AP82" s="44" t="n">
        <f aca="false">SUMIF($D$4:$AM$4,AP$4,$D82:$AM82)</f>
        <v>-262600.309356258</v>
      </c>
      <c r="AQ82" s="44" t="n">
        <f aca="false">SUMIF($D$4:$AM$4,AQ$4,$D82:$AM82)</f>
        <v>-217659.602276506</v>
      </c>
    </row>
    <row r="83" customFormat="false" ht="15" hidden="false" customHeight="false" outlineLevel="0" collapsed="false">
      <c r="A83" s="11" t="s">
        <v>294</v>
      </c>
      <c r="B83" s="13" t="s">
        <v>161</v>
      </c>
      <c r="C83" s="50" t="n">
        <v>0</v>
      </c>
      <c r="D83" s="44" t="n">
        <f aca="false">-D56</f>
        <v>-237600</v>
      </c>
      <c r="E83" s="44" t="n">
        <f aca="false">-E56</f>
        <v>-0</v>
      </c>
      <c r="F83" s="44" t="n">
        <f aca="false">-F56</f>
        <v>-0</v>
      </c>
      <c r="G83" s="44" t="n">
        <f aca="false">-G56</f>
        <v>-0</v>
      </c>
      <c r="H83" s="44" t="n">
        <f aca="false">-H56</f>
        <v>-0</v>
      </c>
      <c r="I83" s="44" t="n">
        <f aca="false">-I56</f>
        <v>-0</v>
      </c>
      <c r="J83" s="44" t="n">
        <f aca="false">-J56</f>
        <v>-0</v>
      </c>
      <c r="K83" s="44" t="n">
        <f aca="false">-K56</f>
        <v>-0</v>
      </c>
      <c r="L83" s="44" t="n">
        <f aca="false">-L56</f>
        <v>-0</v>
      </c>
      <c r="M83" s="44" t="n">
        <f aca="false">-M56</f>
        <v>-0</v>
      </c>
      <c r="N83" s="44" t="n">
        <f aca="false">-N56</f>
        <v>-0</v>
      </c>
      <c r="O83" s="44" t="n">
        <f aca="false">-O56</f>
        <v>-0</v>
      </c>
      <c r="P83" s="44" t="n">
        <f aca="false">-P56</f>
        <v>-0</v>
      </c>
      <c r="Q83" s="44" t="n">
        <f aca="false">-Q56</f>
        <v>-744.310747617118</v>
      </c>
      <c r="R83" s="44" t="n">
        <f aca="false">-R56</f>
        <v>-3229.35381308265</v>
      </c>
      <c r="S83" s="44" t="n">
        <f aca="false">-S56</f>
        <v>-2682.95261417572</v>
      </c>
      <c r="T83" s="44" t="n">
        <f aca="false">-T56</f>
        <v>-2988.02605742538</v>
      </c>
      <c r="U83" s="44" t="n">
        <f aca="false">-U56</f>
        <v>-3070.83266585841</v>
      </c>
      <c r="V83" s="44" t="n">
        <f aca="false">-V56</f>
        <v>-1322.70483814248</v>
      </c>
      <c r="W83" s="44" t="n">
        <f aca="false">-W56</f>
        <v>-0</v>
      </c>
      <c r="X83" s="44" t="n">
        <f aca="false">-X56</f>
        <v>-4219.55341884245</v>
      </c>
      <c r="Y83" s="44" t="n">
        <f aca="false">-Y56</f>
        <v>-1318.00259933443</v>
      </c>
      <c r="Z83" s="44" t="n">
        <f aca="false">-Z56</f>
        <v>-817.209206093267</v>
      </c>
      <c r="AA83" s="44" t="n">
        <f aca="false">-AA56</f>
        <v>-2676.38490161576</v>
      </c>
      <c r="AB83" s="44" t="n">
        <f aca="false">-AB56</f>
        <v>-0</v>
      </c>
      <c r="AC83" s="44" t="n">
        <f aca="false">-AC56</f>
        <v>-1737.02474893136</v>
      </c>
      <c r="AD83" s="44" t="n">
        <f aca="false">-AD56</f>
        <v>-4836.95863036935</v>
      </c>
      <c r="AE83" s="44" t="n">
        <f aca="false">-AE56</f>
        <v>-3510.6359948565</v>
      </c>
      <c r="AF83" s="44" t="n">
        <f aca="false">-AF56</f>
        <v>-4091.99980141401</v>
      </c>
      <c r="AG83" s="44" t="n">
        <f aca="false">-AG56</f>
        <v>-4185.79649804003</v>
      </c>
      <c r="AH83" s="44" t="n">
        <f aca="false">-AH56</f>
        <v>-790.851044661852</v>
      </c>
      <c r="AI83" s="44" t="n">
        <f aca="false">-AI56</f>
        <v>-0</v>
      </c>
      <c r="AJ83" s="44" t="n">
        <f aca="false">-AJ56</f>
        <v>-4779.57230001092</v>
      </c>
      <c r="AK83" s="44" t="n">
        <f aca="false">-AK56</f>
        <v>-1021.32575888832</v>
      </c>
      <c r="AL83" s="44" t="n">
        <f aca="false">-AL56</f>
        <v>-218.266062106608</v>
      </c>
      <c r="AM83" s="44" t="n">
        <f aca="false">-AM56</f>
        <v>-3503.19661587253</v>
      </c>
      <c r="AO83" s="44" t="n">
        <f aca="false">SUMIF($D$4:$AM$4,AO$4,$D83:$AM83)</f>
        <v>-237600</v>
      </c>
      <c r="AP83" s="44" t="n">
        <f aca="false">SUMIF($D$4:$AM$4,AP$4,$D83:$AM83)</f>
        <v>-23069.3308621876</v>
      </c>
      <c r="AQ83" s="44" t="n">
        <f aca="false">SUMIF($D$4:$AM$4,AQ$4,$D83:$AM83)</f>
        <v>-28675.6274551515</v>
      </c>
    </row>
    <row r="84" customFormat="false" ht="15" hidden="false" customHeight="false" outlineLevel="0" collapsed="false">
      <c r="A84" s="10" t="s">
        <v>295</v>
      </c>
      <c r="B84" s="13" t="s">
        <v>161</v>
      </c>
      <c r="C84" s="50" t="n">
        <v>0</v>
      </c>
      <c r="D84" s="45" t="n">
        <f aca="false">IF(D$6=mois_apport,apport+comptes_courants,0)+IF(D$6=mois_levee,levee,0)</f>
        <v>800000</v>
      </c>
      <c r="E84" s="45" t="n">
        <f aca="false">IF(E$6=mois_apport,apport+comptes_courants,0)+IF(E$6=mois_levee,levee,0)</f>
        <v>0</v>
      </c>
      <c r="F84" s="45" t="n">
        <f aca="false">IF(F$6=mois_apport,apport+comptes_courants,0)+IF(F$6=mois_levee,levee,0)</f>
        <v>0</v>
      </c>
      <c r="G84" s="45" t="n">
        <f aca="false">IF(G$6=mois_apport,apport+comptes_courants,0)+IF(G$6=mois_levee,levee,0)</f>
        <v>0</v>
      </c>
      <c r="H84" s="45" t="n">
        <f aca="false">IF(H$6=mois_apport,apport+comptes_courants,0)+IF(H$6=mois_levee,levee,0)</f>
        <v>0</v>
      </c>
      <c r="I84" s="45" t="n">
        <f aca="false">IF(I$6=mois_apport,apport+comptes_courants,0)+IF(I$6=mois_levee,levee,0)</f>
        <v>0</v>
      </c>
      <c r="J84" s="45" t="n">
        <f aca="false">IF(J$6=mois_apport,apport+comptes_courants,0)+IF(J$6=mois_levee,levee,0)</f>
        <v>0</v>
      </c>
      <c r="K84" s="45" t="n">
        <f aca="false">IF(K$6=mois_apport,apport+comptes_courants,0)+IF(K$6=mois_levee,levee,0)</f>
        <v>0</v>
      </c>
      <c r="L84" s="45" t="n">
        <f aca="false">IF(L$6=mois_apport,apport+comptes_courants,0)+IF(L$6=mois_levee,levee,0)</f>
        <v>0</v>
      </c>
      <c r="M84" s="45" t="n">
        <f aca="false">IF(M$6=mois_apport,apport+comptes_courants,0)+IF(M$6=mois_levee,levee,0)</f>
        <v>0</v>
      </c>
      <c r="N84" s="45" t="n">
        <f aca="false">IF(N$6=mois_apport,apport+comptes_courants,0)+IF(N$6=mois_levee,levee,0)</f>
        <v>0</v>
      </c>
      <c r="O84" s="45" t="n">
        <f aca="false">IF(O$6=mois_apport,apport+comptes_courants,0)+IF(O$6=mois_levee,levee,0)</f>
        <v>0</v>
      </c>
      <c r="P84" s="45" t="n">
        <f aca="false">IF(P$6=mois_apport,apport+comptes_courants,0)+IF(P$6=mois_levee,levee,0)</f>
        <v>0</v>
      </c>
      <c r="Q84" s="45" t="n">
        <f aca="false">IF(Q$6=mois_apport,apport+comptes_courants,0)+IF(Q$6=mois_levee,levee,0)</f>
        <v>0</v>
      </c>
      <c r="R84" s="45" t="n">
        <f aca="false">IF(R$6=mois_apport,apport+comptes_courants,0)+IF(R$6=mois_levee,levee,0)</f>
        <v>0</v>
      </c>
      <c r="S84" s="45" t="n">
        <f aca="false">IF(S$6=mois_apport,apport+comptes_courants,0)+IF(S$6=mois_levee,levee,0)</f>
        <v>0</v>
      </c>
      <c r="T84" s="45" t="n">
        <f aca="false">IF(T$6=mois_apport,apport+comptes_courants,0)+IF(T$6=mois_levee,levee,0)</f>
        <v>0</v>
      </c>
      <c r="U84" s="45" t="n">
        <f aca="false">IF(U$6=mois_apport,apport+comptes_courants,0)+IF(U$6=mois_levee,levee,0)</f>
        <v>0</v>
      </c>
      <c r="V84" s="45" t="n">
        <f aca="false">IF(V$6=mois_apport,apport+comptes_courants,0)+IF(V$6=mois_levee,levee,0)</f>
        <v>0</v>
      </c>
      <c r="W84" s="45" t="n">
        <f aca="false">IF(W$6=mois_apport,apport+comptes_courants,0)+IF(W$6=mois_levee,levee,0)</f>
        <v>0</v>
      </c>
      <c r="X84" s="45" t="n">
        <f aca="false">IF(X$6=mois_apport,apport+comptes_courants,0)+IF(X$6=mois_levee,levee,0)</f>
        <v>0</v>
      </c>
      <c r="Y84" s="45" t="n">
        <f aca="false">IF(Y$6=mois_apport,apport+comptes_courants,0)+IF(Y$6=mois_levee,levee,0)</f>
        <v>0</v>
      </c>
      <c r="Z84" s="45" t="n">
        <f aca="false">IF(Z$6=mois_apport,apport+comptes_courants,0)+IF(Z$6=mois_levee,levee,0)</f>
        <v>0</v>
      </c>
      <c r="AA84" s="45" t="n">
        <f aca="false">IF(AA$6=mois_apport,apport+comptes_courants,0)+IF(AA$6=mois_levee,levee,0)</f>
        <v>0</v>
      </c>
      <c r="AB84" s="45" t="n">
        <f aca="false">IF(AB$6=mois_apport,apport+comptes_courants,0)+IF(AB$6=mois_levee,levee,0)</f>
        <v>0</v>
      </c>
      <c r="AC84" s="45" t="n">
        <f aca="false">IF(AC$6=mois_apport,apport+comptes_courants,0)+IF(AC$6=mois_levee,levee,0)</f>
        <v>0</v>
      </c>
      <c r="AD84" s="45" t="n">
        <f aca="false">IF(AD$6=mois_apport,apport+comptes_courants,0)+IF(AD$6=mois_levee,levee,0)</f>
        <v>0</v>
      </c>
      <c r="AE84" s="45" t="n">
        <f aca="false">IF(AE$6=mois_apport,apport+comptes_courants,0)+IF(AE$6=mois_levee,levee,0)</f>
        <v>0</v>
      </c>
      <c r="AF84" s="45" t="n">
        <f aca="false">IF(AF$6=mois_apport,apport+comptes_courants,0)+IF(AF$6=mois_levee,levee,0)</f>
        <v>0</v>
      </c>
      <c r="AG84" s="45" t="n">
        <f aca="false">IF(AG$6=mois_apport,apport+comptes_courants,0)+IF(AG$6=mois_levee,levee,0)</f>
        <v>0</v>
      </c>
      <c r="AH84" s="45" t="n">
        <f aca="false">IF(AH$6=mois_apport,apport+comptes_courants,0)+IF(AH$6=mois_levee,levee,0)</f>
        <v>0</v>
      </c>
      <c r="AI84" s="45" t="n">
        <f aca="false">IF(AI$6=mois_apport,apport+comptes_courants,0)+IF(AI$6=mois_levee,levee,0)</f>
        <v>0</v>
      </c>
      <c r="AJ84" s="45" t="n">
        <f aca="false">IF(AJ$6=mois_apport,apport+comptes_courants,0)+IF(AJ$6=mois_levee,levee,0)</f>
        <v>0</v>
      </c>
      <c r="AK84" s="45" t="n">
        <f aca="false">IF(AK$6=mois_apport,apport+comptes_courants,0)+IF(AK$6=mois_levee,levee,0)</f>
        <v>0</v>
      </c>
      <c r="AL84" s="45" t="n">
        <f aca="false">IF(AL$6=mois_apport,apport+comptes_courants,0)+IF(AL$6=mois_levee,levee,0)</f>
        <v>0</v>
      </c>
      <c r="AM84" s="45" t="n">
        <f aca="false">IF(AM$6=mois_apport,apport+comptes_courants,0)+IF(AM$6=mois_levee,levee,0)</f>
        <v>0</v>
      </c>
      <c r="AO84" s="45" t="n">
        <f aca="false">SUMIF($D$4:$AM$4,AO$4,$D84:$AM84)</f>
        <v>800000</v>
      </c>
      <c r="AP84" s="45" t="n">
        <f aca="false">SUMIF($D$4:$AM$4,AP$4,$D84:$AM84)</f>
        <v>0</v>
      </c>
      <c r="AQ84" s="45" t="n">
        <f aca="false">SUMIF($D$4:$AM$4,AQ$4,$D84:$AM84)</f>
        <v>0</v>
      </c>
    </row>
    <row r="85" customFormat="false" ht="15" hidden="false" customHeight="false" outlineLevel="0" collapsed="false">
      <c r="A85" s="10" t="s">
        <v>433</v>
      </c>
      <c r="B85" s="13" t="s">
        <v>161</v>
      </c>
      <c r="C85" s="50" t="n">
        <v>0</v>
      </c>
      <c r="D85" s="45" t="n">
        <f aca="false">IF(AND(D$6=mois_tranche,D35=1),tranche,0)</f>
        <v>0</v>
      </c>
      <c r="E85" s="45" t="n">
        <f aca="false">IF(AND(E$6=mois_tranche,E35=1),tranche,0)</f>
        <v>0</v>
      </c>
      <c r="F85" s="45" t="n">
        <f aca="false">IF(AND(F$6=mois_tranche,F35=1),tranche,0)</f>
        <v>0</v>
      </c>
      <c r="G85" s="45" t="n">
        <f aca="false">IF(AND(G$6=mois_tranche,G35=1),tranche,0)</f>
        <v>0</v>
      </c>
      <c r="H85" s="45" t="n">
        <f aca="false">IF(AND(H$6=mois_tranche,H35=1),tranche,0)</f>
        <v>0</v>
      </c>
      <c r="I85" s="45" t="n">
        <f aca="false">IF(AND(I$6=mois_tranche,I35=1),tranche,0)</f>
        <v>0</v>
      </c>
      <c r="J85" s="45" t="n">
        <f aca="false">IF(AND(J$6=mois_tranche,J35=1),tranche,0)</f>
        <v>0</v>
      </c>
      <c r="K85" s="45" t="n">
        <f aca="false">IF(AND(K$6=mois_tranche,K35=1),tranche,0)</f>
        <v>0</v>
      </c>
      <c r="L85" s="45" t="n">
        <f aca="false">IF(AND(L$6=mois_tranche,L35=1),tranche,0)</f>
        <v>0</v>
      </c>
      <c r="M85" s="45" t="n">
        <f aca="false">IF(AND(M$6=mois_tranche,M35=1),tranche,0)</f>
        <v>0</v>
      </c>
      <c r="N85" s="45" t="n">
        <f aca="false">IF(AND(N$6=mois_tranche,N35=1),tranche,0)</f>
        <v>0</v>
      </c>
      <c r="O85" s="45" t="n">
        <f aca="false">IF(AND(O$6=mois_tranche,O35=1),tranche,0)</f>
        <v>0</v>
      </c>
      <c r="P85" s="45" t="n">
        <f aca="false">IF(AND(P$6=mois_tranche,P35=1),tranche,0)</f>
        <v>0</v>
      </c>
      <c r="Q85" s="45" t="n">
        <f aca="false">IF(AND(Q$6=mois_tranche,Q35=1),tranche,0)</f>
        <v>0</v>
      </c>
      <c r="R85" s="45" t="n">
        <f aca="false">IF(AND(R$6=mois_tranche,R35=1),tranche,0)</f>
        <v>0</v>
      </c>
      <c r="S85" s="45" t="n">
        <f aca="false">IF(AND(S$6=mois_tranche,S35=1),tranche,0)</f>
        <v>0</v>
      </c>
      <c r="T85" s="45" t="n">
        <f aca="false">IF(AND(T$6=mois_tranche,T35=1),tranche,0)</f>
        <v>0</v>
      </c>
      <c r="U85" s="45" t="n">
        <f aca="false">IF(AND(U$6=mois_tranche,U35=1),tranche,0)</f>
        <v>0</v>
      </c>
      <c r="V85" s="45" t="n">
        <f aca="false">IF(AND(V$6=mois_tranche,V35=1),tranche,0)</f>
        <v>0</v>
      </c>
      <c r="W85" s="45" t="n">
        <f aca="false">IF(AND(W$6=mois_tranche,W35=1),tranche,0)</f>
        <v>0</v>
      </c>
      <c r="X85" s="45" t="n">
        <f aca="false">IF(AND(X$6=mois_tranche,X35=1),tranche,0)</f>
        <v>0</v>
      </c>
      <c r="Y85" s="45" t="n">
        <f aca="false">IF(AND(Y$6=mois_tranche,Y35=1),tranche,0)</f>
        <v>0</v>
      </c>
      <c r="Z85" s="45" t="n">
        <f aca="false">IF(AND(Z$6=mois_tranche,Z35=1),tranche,0)</f>
        <v>0</v>
      </c>
      <c r="AA85" s="45" t="n">
        <f aca="false">IF(AND(AA$6=mois_tranche,AA35=1),tranche,0)</f>
        <v>0</v>
      </c>
      <c r="AB85" s="45" t="n">
        <f aca="false">IF(AND(AB$6=mois_tranche,AB35=1),tranche,0)</f>
        <v>0</v>
      </c>
      <c r="AC85" s="45" t="n">
        <f aca="false">IF(AND(AC$6=mois_tranche,AC35=1),tranche,0)</f>
        <v>0</v>
      </c>
      <c r="AD85" s="45" t="n">
        <f aca="false">IF(AND(AD$6=mois_tranche,AD35=1),tranche,0)</f>
        <v>0</v>
      </c>
      <c r="AE85" s="45" t="n">
        <f aca="false">IF(AND(AE$6=mois_tranche,AE35=1),tranche,0)</f>
        <v>0</v>
      </c>
      <c r="AF85" s="45" t="n">
        <f aca="false">IF(AND(AF$6=mois_tranche,AF35=1),tranche,0)</f>
        <v>0</v>
      </c>
      <c r="AG85" s="45" t="n">
        <f aca="false">IF(AND(AG$6=mois_tranche,AG35=1),tranche,0)</f>
        <v>0</v>
      </c>
      <c r="AH85" s="45" t="n">
        <f aca="false">IF(AND(AH$6=mois_tranche,AH35=1),tranche,0)</f>
        <v>0</v>
      </c>
      <c r="AI85" s="45" t="n">
        <f aca="false">IF(AND(AI$6=mois_tranche,AI35=1),tranche,0)</f>
        <v>0</v>
      </c>
      <c r="AJ85" s="45" t="n">
        <f aca="false">IF(AND(AJ$6=mois_tranche,AJ35=1),tranche,0)</f>
        <v>0</v>
      </c>
      <c r="AK85" s="45" t="n">
        <f aca="false">IF(AND(AK$6=mois_tranche,AK35=1),tranche,0)</f>
        <v>0</v>
      </c>
      <c r="AL85" s="45" t="n">
        <f aca="false">IF(AND(AL$6=mois_tranche,AL35=1),tranche,0)</f>
        <v>0</v>
      </c>
      <c r="AM85" s="45" t="n">
        <f aca="false">IF(AND(AM$6=mois_tranche,AM35=1),tranche,0)</f>
        <v>0</v>
      </c>
      <c r="AO85" s="45" t="n">
        <f aca="false">SUMIF($D$4:$AM$4,AO$4,$D85:$AM85)</f>
        <v>0</v>
      </c>
      <c r="AP85" s="45" t="n">
        <f aca="false">SUMIF($D$4:$AM$4,AP$4,$D85:$AM85)</f>
        <v>0</v>
      </c>
      <c r="AQ85" s="45" t="n">
        <f aca="false">SUMIF($D$4:$AM$4,AQ$4,$D85:$AM85)</f>
        <v>0</v>
      </c>
    </row>
    <row r="86" customFormat="false" ht="15" hidden="false" customHeight="false" outlineLevel="0" collapsed="false">
      <c r="A86" s="11" t="s">
        <v>300</v>
      </c>
      <c r="B86" s="13" t="s">
        <v>161</v>
      </c>
      <c r="C86" s="50" t="n">
        <v>0</v>
      </c>
      <c r="D86" s="44" t="n">
        <f aca="false">D84+D85+D69-D68-D67</f>
        <v>1020000</v>
      </c>
      <c r="E86" s="44" t="n">
        <f aca="false">E84+E85+E69-E68-E67</f>
        <v>-825</v>
      </c>
      <c r="F86" s="44" t="n">
        <f aca="false">F84+F85+F69-F68-F67</f>
        <v>-825</v>
      </c>
      <c r="G86" s="44" t="n">
        <f aca="false">G84+G85+G69-G68-G67</f>
        <v>-825</v>
      </c>
      <c r="H86" s="44" t="n">
        <f aca="false">H84+H85+H69-H68-H67</f>
        <v>-825</v>
      </c>
      <c r="I86" s="44" t="n">
        <f aca="false">I84+I85+I69-I68-I67</f>
        <v>-825</v>
      </c>
      <c r="J86" s="44" t="n">
        <f aca="false">J84+J85+J69-J68-J67</f>
        <v>-825</v>
      </c>
      <c r="K86" s="44" t="n">
        <f aca="false">K84+K85+K69-K68-K67</f>
        <v>-4508.09458189757</v>
      </c>
      <c r="L86" s="44" t="n">
        <f aca="false">L84+L85+L69-L68-L67</f>
        <v>-4508.09458189757</v>
      </c>
      <c r="M86" s="44" t="n">
        <f aca="false">M84+M85+M69-M68-M67</f>
        <v>-4508.09458189757</v>
      </c>
      <c r="N86" s="44" t="n">
        <f aca="false">N84+N85+N69-N68-N67</f>
        <v>-4508.09458189757</v>
      </c>
      <c r="O86" s="44" t="n">
        <f aca="false">O84+O85+O69-O68-O67</f>
        <v>-4508.09458189757</v>
      </c>
      <c r="P86" s="44" t="n">
        <f aca="false">P84+P85+P69-P68-P67</f>
        <v>-4508.09458189757</v>
      </c>
      <c r="Q86" s="44" t="n">
        <f aca="false">Q84+Q85+Q69-Q68-Q67</f>
        <v>-4508.09458189757</v>
      </c>
      <c r="R86" s="44" t="n">
        <f aca="false">R84+R85+R69-R68-R67</f>
        <v>-4508.09458189757</v>
      </c>
      <c r="S86" s="44" t="n">
        <f aca="false">S84+S85+S69-S68-S67</f>
        <v>-4508.09458189757</v>
      </c>
      <c r="T86" s="44" t="n">
        <f aca="false">T84+T85+T69-T68-T67</f>
        <v>-4508.09458189757</v>
      </c>
      <c r="U86" s="44" t="n">
        <f aca="false">U84+U85+U69-U68-U67</f>
        <v>-4508.09458189757</v>
      </c>
      <c r="V86" s="44" t="n">
        <f aca="false">V84+V85+V69-V68-V67</f>
        <v>-4508.09458189757</v>
      </c>
      <c r="W86" s="44" t="n">
        <f aca="false">W84+W85+W69-W68-W67</f>
        <v>-4508.09458189757</v>
      </c>
      <c r="X86" s="44" t="n">
        <f aca="false">X84+X85+X69-X68-X67</f>
        <v>-4508.09458189757</v>
      </c>
      <c r="Y86" s="44" t="n">
        <f aca="false">Y84+Y85+Y69-Y68-Y67</f>
        <v>-4508.09458189757</v>
      </c>
      <c r="Z86" s="44" t="n">
        <f aca="false">Z84+Z85+Z69-Z68-Z67</f>
        <v>-4508.09458189757</v>
      </c>
      <c r="AA86" s="44" t="n">
        <f aca="false">AA84+AA85+AA69-AA68-AA67</f>
        <v>-4508.09458189757</v>
      </c>
      <c r="AB86" s="44" t="n">
        <f aca="false">AB84+AB85+AB69-AB68-AB67</f>
        <v>-4508.09458189757</v>
      </c>
      <c r="AC86" s="44" t="n">
        <f aca="false">AC84+AC85+AC69-AC68-AC67</f>
        <v>-4508.09458189757</v>
      </c>
      <c r="AD86" s="44" t="n">
        <f aca="false">AD84+AD85+AD69-AD68-AD67</f>
        <v>-4508.09458189757</v>
      </c>
      <c r="AE86" s="44" t="n">
        <f aca="false">AE84+AE85+AE69-AE68-AE67</f>
        <v>-4508.09458189757</v>
      </c>
      <c r="AF86" s="44" t="n">
        <f aca="false">AF84+AF85+AF69-AF68-AF67</f>
        <v>-4508.09458189757</v>
      </c>
      <c r="AG86" s="44" t="n">
        <f aca="false">AG84+AG85+AG69-AG68-AG67</f>
        <v>-4508.09458189757</v>
      </c>
      <c r="AH86" s="44" t="n">
        <f aca="false">AH84+AH85+AH69-AH68-AH67</f>
        <v>-4508.09458189757</v>
      </c>
      <c r="AI86" s="44" t="n">
        <f aca="false">AI84+AI85+AI69-AI68-AI67</f>
        <v>-4508.09458189757</v>
      </c>
      <c r="AJ86" s="44" t="n">
        <f aca="false">AJ84+AJ85+AJ69-AJ68-AJ67</f>
        <v>-4508.09458189757</v>
      </c>
      <c r="AK86" s="44" t="n">
        <f aca="false">AK84+AK85+AK69-AK68-AK67</f>
        <v>-4508.09458189757</v>
      </c>
      <c r="AL86" s="44" t="n">
        <f aca="false">AL84+AL85+AL69-AL68-AL67</f>
        <v>-4508.09458189757</v>
      </c>
      <c r="AM86" s="44" t="n">
        <f aca="false">AM84+AM85+AM69-AM68-AM67</f>
        <v>-4508.09458189757</v>
      </c>
      <c r="AO86" s="44" t="n">
        <f aca="false">SUMIF($D$4:$AM$4,AO$4,$D86:$AM86)</f>
        <v>992509.527090512</v>
      </c>
      <c r="AP86" s="44" t="n">
        <f aca="false">SUMIF($D$4:$AM$4,AP$4,$D86:$AM86)</f>
        <v>-54097.1349827709</v>
      </c>
      <c r="AQ86" s="44" t="n">
        <f aca="false">SUMIF($D$4:$AM$4,AQ$4,$D86:$AM86)</f>
        <v>-54097.1349827709</v>
      </c>
    </row>
    <row r="87" customFormat="false" ht="15" hidden="false" customHeight="false" outlineLevel="0" collapsed="false">
      <c r="A87" s="11" t="s">
        <v>301</v>
      </c>
      <c r="B87" s="13" t="s">
        <v>161</v>
      </c>
      <c r="C87" s="50" t="n">
        <v>0</v>
      </c>
      <c r="D87" s="44" t="n">
        <f aca="false">D82+D83+D86</f>
        <v>771269.466666667</v>
      </c>
      <c r="E87" s="44" t="n">
        <f aca="false">E82+E83+E86</f>
        <v>-20948.6293333333</v>
      </c>
      <c r="F87" s="44" t="n">
        <f aca="false">F82+F83+F86</f>
        <v>-20315.4049333333</v>
      </c>
      <c r="G87" s="44" t="n">
        <f aca="false">G82+G83+G86</f>
        <v>-24385.5980545067</v>
      </c>
      <c r="H87" s="44" t="n">
        <f aca="false">H82+H83+H86</f>
        <v>-23688.4688176427</v>
      </c>
      <c r="I87" s="44" t="n">
        <f aca="false">I82+I83+I86</f>
        <v>-22943.608557012</v>
      </c>
      <c r="J87" s="44" t="n">
        <f aca="false">J82+J83+J86</f>
        <v>-21976.0183788299</v>
      </c>
      <c r="K87" s="44" t="n">
        <f aca="false">K82+K83+K86</f>
        <v>-24181.4980197732</v>
      </c>
      <c r="L87" s="44" t="n">
        <f aca="false">L82+L83+L86</f>
        <v>-26476.6234451522</v>
      </c>
      <c r="M87" s="44" t="n">
        <f aca="false">M82+M83+M86</f>
        <v>-23721.6043575712</v>
      </c>
      <c r="N87" s="44" t="n">
        <f aca="false">N82+N83+N86</f>
        <v>-23106.1316769957</v>
      </c>
      <c r="O87" s="44" t="n">
        <f aca="false">O82+O83+O86</f>
        <v>-22909.2820925731</v>
      </c>
      <c r="P87" s="44" t="n">
        <f aca="false">P82+P83+P86</f>
        <v>-28647.4665925641</v>
      </c>
      <c r="Q87" s="44" t="n">
        <f aca="false">Q82+Q83+Q86</f>
        <v>-30024.35874778</v>
      </c>
      <c r="R87" s="44" t="n">
        <f aca="false">R82+R83+R86</f>
        <v>-31821.1780748284</v>
      </c>
      <c r="S87" s="44" t="n">
        <f aca="false">S82+S83+S86</f>
        <v>-29576.850894258</v>
      </c>
      <c r="T87" s="44" t="n">
        <f aca="false">T82+T83+T86</f>
        <v>-28722.6457847413</v>
      </c>
      <c r="U87" s="44" t="n">
        <f aca="false">U82+U83+U86</f>
        <v>-30506.5529778935</v>
      </c>
      <c r="V87" s="44" t="n">
        <f aca="false">V82+V83+V86</f>
        <v>-27452.2225713625</v>
      </c>
      <c r="W87" s="44" t="n">
        <f aca="false">W82+W83+W86</f>
        <v>-19615.9858367916</v>
      </c>
      <c r="X87" s="44" t="n">
        <f aca="false">X82+X83+X86</f>
        <v>-34361.0724271155</v>
      </c>
      <c r="Y87" s="44" t="n">
        <f aca="false">Y82+Y83+Y86</f>
        <v>-24668.0164142006</v>
      </c>
      <c r="Z87" s="44" t="n">
        <f aca="false">Z82+Z83+Z86</f>
        <v>-26161.7400171389</v>
      </c>
      <c r="AA87" s="44" t="n">
        <f aca="false">AA82+AA83+AA86</f>
        <v>-28208.6848625421</v>
      </c>
      <c r="AB87" s="44" t="n">
        <f aca="false">AB82+AB83+AB86</f>
        <v>-25811.1922423767</v>
      </c>
      <c r="AC87" s="44" t="n">
        <f aca="false">AC82+AC83+AC86</f>
        <v>-28816.5186970485</v>
      </c>
      <c r="AD87" s="44" t="n">
        <f aca="false">AD82+AD83+AD86</f>
        <v>-31577.1007951677</v>
      </c>
      <c r="AE87" s="44" t="n">
        <f aca="false">AE82+AE83+AE86</f>
        <v>-27596.3672191124</v>
      </c>
      <c r="AF87" s="44" t="n">
        <f aca="false">AF82+AF83+AF86</f>
        <v>-26765.8322690386</v>
      </c>
      <c r="AG87" s="44" t="n">
        <f aca="false">AG82+AG83+AG86</f>
        <v>-28161.3713753526</v>
      </c>
      <c r="AH87" s="44" t="n">
        <f aca="false">AH82+AH83+AH86</f>
        <v>-22392.1727712866</v>
      </c>
      <c r="AI87" s="44" t="n">
        <f aca="false">AI82+AI83+AI86</f>
        <v>-12911.5053409315</v>
      </c>
      <c r="AJ87" s="44" t="n">
        <f aca="false">AJ82+AJ83+AJ86</f>
        <v>-36092.0390869869</v>
      </c>
      <c r="AK87" s="44" t="n">
        <f aca="false">AK82+AK83+AK86</f>
        <v>-19842.4956893734</v>
      </c>
      <c r="AL87" s="44" t="n">
        <f aca="false">AL82+AL83+AL86</f>
        <v>-18123.8653598951</v>
      </c>
      <c r="AM87" s="44" t="n">
        <f aca="false">AM82+AM83+AM86</f>
        <v>-22341.9038678588</v>
      </c>
      <c r="AO87" s="44" t="n">
        <f aca="false">SUMIF($D$4:$AM$4,AO$4,$D87:$AM87)</f>
        <v>516616.598999943</v>
      </c>
      <c r="AP87" s="44" t="n">
        <f aca="false">SUMIF($D$4:$AM$4,AP$4,$D87:$AM87)</f>
        <v>-339766.775201216</v>
      </c>
      <c r="AQ87" s="44" t="n">
        <f aca="false">SUMIF($D$4:$AM$4,AQ$4,$D87:$AM87)</f>
        <v>-300432.364714429</v>
      </c>
    </row>
    <row r="88" customFormat="false" ht="15" hidden="false" customHeight="false" outlineLevel="0" collapsed="false">
      <c r="A88" s="11" t="s">
        <v>434</v>
      </c>
      <c r="B88" s="13" t="s">
        <v>161</v>
      </c>
      <c r="C88" s="50" t="n">
        <v>0</v>
      </c>
      <c r="D88" s="44" t="n">
        <f aca="false">C88+D87</f>
        <v>771269.466666667</v>
      </c>
      <c r="E88" s="44" t="n">
        <f aca="false">D88+E87</f>
        <v>750320.837333333</v>
      </c>
      <c r="F88" s="44" t="n">
        <f aca="false">E88+F87</f>
        <v>730005.4324</v>
      </c>
      <c r="G88" s="44" t="n">
        <f aca="false">F88+G87</f>
        <v>705619.834345493</v>
      </c>
      <c r="H88" s="44" t="n">
        <f aca="false">G88+H87</f>
        <v>681931.365527851</v>
      </c>
      <c r="I88" s="44" t="n">
        <f aca="false">H88+I87</f>
        <v>658987.756970839</v>
      </c>
      <c r="J88" s="44" t="n">
        <f aca="false">I88+J87</f>
        <v>637011.738592009</v>
      </c>
      <c r="K88" s="44" t="n">
        <f aca="false">J88+K87</f>
        <v>612830.240572236</v>
      </c>
      <c r="L88" s="44" t="n">
        <f aca="false">K88+L87</f>
        <v>586353.617127083</v>
      </c>
      <c r="M88" s="44" t="n">
        <f aca="false">L88+M87</f>
        <v>562632.012769512</v>
      </c>
      <c r="N88" s="44" t="n">
        <f aca="false">M88+N87</f>
        <v>539525.881092517</v>
      </c>
      <c r="O88" s="44" t="n">
        <f aca="false">N88+O87</f>
        <v>516616.598999943</v>
      </c>
      <c r="P88" s="44" t="n">
        <f aca="false">O88+P87</f>
        <v>487969.132407379</v>
      </c>
      <c r="Q88" s="44" t="n">
        <f aca="false">P88+Q87</f>
        <v>457944.773659599</v>
      </c>
      <c r="R88" s="44" t="n">
        <f aca="false">Q88+R87</f>
        <v>426123.595584771</v>
      </c>
      <c r="S88" s="44" t="n">
        <f aca="false">R88+S87</f>
        <v>396546.744690513</v>
      </c>
      <c r="T88" s="44" t="n">
        <f aca="false">S88+T87</f>
        <v>367824.098905772</v>
      </c>
      <c r="U88" s="44" t="n">
        <f aca="false">T88+U87</f>
        <v>337317.545927878</v>
      </c>
      <c r="V88" s="44" t="n">
        <f aca="false">U88+V87</f>
        <v>309865.323356516</v>
      </c>
      <c r="W88" s="44" t="n">
        <f aca="false">V88+W87</f>
        <v>290249.337519724</v>
      </c>
      <c r="X88" s="44" t="n">
        <f aca="false">W88+X87</f>
        <v>255888.265092609</v>
      </c>
      <c r="Y88" s="44" t="n">
        <f aca="false">X88+Y87</f>
        <v>231220.248678408</v>
      </c>
      <c r="Z88" s="44" t="n">
        <f aca="false">Y88+Z87</f>
        <v>205058.508661269</v>
      </c>
      <c r="AA88" s="44" t="n">
        <f aca="false">Z88+AA87</f>
        <v>176849.823798727</v>
      </c>
      <c r="AB88" s="44" t="n">
        <f aca="false">AA88+AB87</f>
        <v>151038.63155635</v>
      </c>
      <c r="AC88" s="44" t="n">
        <f aca="false">AB88+AC87</f>
        <v>122222.112859302</v>
      </c>
      <c r="AD88" s="44" t="n">
        <f aca="false">AC88+AD87</f>
        <v>90645.0120641342</v>
      </c>
      <c r="AE88" s="44" t="n">
        <f aca="false">AD88+AE87</f>
        <v>63048.6448450218</v>
      </c>
      <c r="AF88" s="44" t="n">
        <f aca="false">AE88+AF87</f>
        <v>36282.8125759832</v>
      </c>
      <c r="AG88" s="44" t="n">
        <f aca="false">AF88+AG87</f>
        <v>8121.4412006306</v>
      </c>
      <c r="AH88" s="44" t="n">
        <f aca="false">AG88+AH87</f>
        <v>-14270.731570656</v>
      </c>
      <c r="AI88" s="44" t="n">
        <f aca="false">AH88+AI87</f>
        <v>-27182.2369115875</v>
      </c>
      <c r="AJ88" s="44" t="n">
        <f aca="false">AI88+AJ87</f>
        <v>-63274.2759985744</v>
      </c>
      <c r="AK88" s="44" t="n">
        <f aca="false">AJ88+AK87</f>
        <v>-83116.7716879478</v>
      </c>
      <c r="AL88" s="44" t="n">
        <f aca="false">AK88+AL87</f>
        <v>-101240.637047843</v>
      </c>
      <c r="AM88" s="44" t="n">
        <f aca="false">AL88+AM87</f>
        <v>-123582.540915702</v>
      </c>
      <c r="AO88" s="44" t="n">
        <f aca="false">INDEX($D88:$AM88,(AO$4-annee_debut)*12+12)</f>
        <v>516616.598999943</v>
      </c>
      <c r="AP88" s="44" t="n">
        <f aca="false">INDEX($D88:$AM88,(AP$4-annee_debut)*12+12)</f>
        <v>176849.823798727</v>
      </c>
      <c r="AQ88" s="44" t="n">
        <f aca="false">INDEX($D88:$AM88,(AQ$4-annee_debut)*12+12)</f>
        <v>-123582.540915702</v>
      </c>
    </row>
    <row r="89" customFormat="false" ht="15" hidden="false" customHeight="false" outlineLevel="0" collapsed="false">
      <c r="A89" s="10" t="s">
        <v>303</v>
      </c>
      <c r="B89" s="13" t="s">
        <v>161</v>
      </c>
      <c r="C89" s="50" t="n">
        <v>0</v>
      </c>
      <c r="D89" s="45" t="n">
        <f aca="false">C89+D82+D83</f>
        <v>-248730.533333333</v>
      </c>
      <c r="E89" s="45" t="n">
        <f aca="false">D89+E82+E83</f>
        <v>-268854.162666667</v>
      </c>
      <c r="F89" s="45" t="n">
        <f aca="false">E89+F82+F83</f>
        <v>-288344.5676</v>
      </c>
      <c r="G89" s="45" t="n">
        <f aca="false">F89+G82+G83</f>
        <v>-311905.165654507</v>
      </c>
      <c r="H89" s="45" t="n">
        <f aca="false">G89+H82+H83</f>
        <v>-334768.634472149</v>
      </c>
      <c r="I89" s="45" t="n">
        <f aca="false">H89+I82+I83</f>
        <v>-356887.243029161</v>
      </c>
      <c r="J89" s="45" t="n">
        <f aca="false">I89+J82+J83</f>
        <v>-378038.261407991</v>
      </c>
      <c r="K89" s="45" t="n">
        <f aca="false">J89+K82+K83</f>
        <v>-397711.664845867</v>
      </c>
      <c r="L89" s="45" t="n">
        <f aca="false">K89+L82+L83</f>
        <v>-419680.193709122</v>
      </c>
      <c r="M89" s="45" t="n">
        <f aca="false">L89+M82+M83</f>
        <v>-438893.703484795</v>
      </c>
      <c r="N89" s="45" t="n">
        <f aca="false">M89+N82+N83</f>
        <v>-457491.740579893</v>
      </c>
      <c r="O89" s="45" t="n">
        <f aca="false">N89+O82+O83</f>
        <v>-475892.928090569</v>
      </c>
      <c r="P89" s="45" t="n">
        <f aca="false">O89+P82+P83</f>
        <v>-500032.300101235</v>
      </c>
      <c r="Q89" s="45" t="n">
        <f aca="false">P89+Q82+Q83</f>
        <v>-525548.564267118</v>
      </c>
      <c r="R89" s="45" t="n">
        <f aca="false">Q89+R82+R83</f>
        <v>-552861.647760049</v>
      </c>
      <c r="S89" s="45" t="n">
        <f aca="false">R89+S82+S83</f>
        <v>-577930.404072409</v>
      </c>
      <c r="T89" s="45" t="n">
        <f aca="false">S89+T82+T83</f>
        <v>-602144.955275253</v>
      </c>
      <c r="U89" s="45" t="n">
        <f aca="false">T89+U82+U83</f>
        <v>-628143.413671249</v>
      </c>
      <c r="V89" s="45" t="n">
        <f aca="false">U89+V82+V83</f>
        <v>-651087.541660714</v>
      </c>
      <c r="W89" s="45" t="n">
        <f aca="false">V89+W82+W83</f>
        <v>-666195.432915608</v>
      </c>
      <c r="X89" s="45" t="n">
        <f aca="false">W89+X82+X83</f>
        <v>-696048.410760826</v>
      </c>
      <c r="Y89" s="45" t="n">
        <f aca="false">X89+Y82+Y83</f>
        <v>-716208.332593129</v>
      </c>
      <c r="Z89" s="45" t="n">
        <f aca="false">Y89+Z82+Z83</f>
        <v>-737861.97802837</v>
      </c>
      <c r="AA89" s="45" t="n">
        <f aca="false">Z89+AA82+AA83</f>
        <v>-761562.568309014</v>
      </c>
      <c r="AB89" s="45" t="n">
        <f aca="false">AA89+AB82+AB83</f>
        <v>-782865.665969494</v>
      </c>
      <c r="AC89" s="45" t="n">
        <f aca="false">AB89+AC82+AC83</f>
        <v>-807174.090084645</v>
      </c>
      <c r="AD89" s="45" t="n">
        <f aca="false">AC89+AD82+AD83</f>
        <v>-834243.096297915</v>
      </c>
      <c r="AE89" s="45" t="n">
        <f aca="false">AD89+AE82+AE83</f>
        <v>-857331.368935129</v>
      </c>
      <c r="AF89" s="45" t="n">
        <f aca="false">AE89+AF82+AF83</f>
        <v>-879589.10662227</v>
      </c>
      <c r="AG89" s="45" t="n">
        <f aca="false">AF89+AG82+AG83</f>
        <v>-903242.383415725</v>
      </c>
      <c r="AH89" s="45" t="n">
        <f aca="false">AG89+AH82+AH83</f>
        <v>-921126.461605114</v>
      </c>
      <c r="AI89" s="45" t="n">
        <f aca="false">AH89+AI82+AI83</f>
        <v>-929529.872364148</v>
      </c>
      <c r="AJ89" s="45" t="n">
        <f aca="false">AI89+AJ82+AJ83</f>
        <v>-961113.816869238</v>
      </c>
      <c r="AK89" s="45" t="n">
        <f aca="false">AJ89+AK82+AK83</f>
        <v>-976448.217976713</v>
      </c>
      <c r="AL89" s="45" t="n">
        <f aca="false">AK89+AL82+AL83</f>
        <v>-990063.988754711</v>
      </c>
      <c r="AM89" s="45" t="n">
        <f aca="false">AL89+AM82+AM83</f>
        <v>-1007897.79804067</v>
      </c>
      <c r="AO89" s="45" t="n">
        <f aca="false">INDEX($D89:$AM89,(AO$4-annee_debut)*12+12)</f>
        <v>-475892.928090569</v>
      </c>
      <c r="AP89" s="45" t="n">
        <f aca="false">INDEX($D89:$AM89,(AP$4-annee_debut)*12+12)</f>
        <v>-761562.568309014</v>
      </c>
      <c r="AQ89" s="45" t="n">
        <f aca="false">INDEX($D89:$AM89,(AQ$4-annee_debut)*12+12)</f>
        <v>-1007897.79804067</v>
      </c>
    </row>
    <row r="90" customFormat="false" ht="15" hidden="false" customHeight="false" outlineLevel="0" collapsed="false">
      <c r="A90" s="5" t="s">
        <v>435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</row>
    <row r="91" customFormat="false" ht="15" hidden="false" customHeight="false" outlineLevel="0" collapsed="false">
      <c r="A91" s="10" t="s">
        <v>436</v>
      </c>
      <c r="B91" s="13" t="s">
        <v>85</v>
      </c>
      <c r="C91" s="50" t="n">
        <v>0</v>
      </c>
      <c r="D91" s="45" t="n">
        <f aca="false">IF(D48&lt;=0,D$6,0)</f>
        <v>1</v>
      </c>
      <c r="E91" s="45" t="n">
        <f aca="false">IF(E48&lt;=0,E$6,0)</f>
        <v>2</v>
      </c>
      <c r="F91" s="45" t="n">
        <f aca="false">IF(F48&lt;=0,F$6,0)</f>
        <v>3</v>
      </c>
      <c r="G91" s="45" t="n">
        <f aca="false">IF(G48&lt;=0,G$6,0)</f>
        <v>4</v>
      </c>
      <c r="H91" s="45" t="n">
        <f aca="false">IF(H48&lt;=0,H$6,0)</f>
        <v>5</v>
      </c>
      <c r="I91" s="45" t="n">
        <f aca="false">IF(I48&lt;=0,I$6,0)</f>
        <v>6</v>
      </c>
      <c r="J91" s="45" t="n">
        <f aca="false">IF(J48&lt;=0,J$6,0)</f>
        <v>7</v>
      </c>
      <c r="K91" s="45" t="n">
        <f aca="false">IF(K48&lt;=0,K$6,0)</f>
        <v>8</v>
      </c>
      <c r="L91" s="45" t="n">
        <f aca="false">IF(L48&lt;=0,L$6,0)</f>
        <v>9</v>
      </c>
      <c r="M91" s="45" t="n">
        <f aca="false">IF(M48&lt;=0,M$6,0)</f>
        <v>10</v>
      </c>
      <c r="N91" s="45" t="n">
        <f aca="false">IF(N48&lt;=0,N$6,0)</f>
        <v>11</v>
      </c>
      <c r="O91" s="45" t="n">
        <f aca="false">IF(O48&lt;=0,O$6,0)</f>
        <v>12</v>
      </c>
      <c r="P91" s="45" t="n">
        <f aca="false">IF(P48&lt;=0,P$6,0)</f>
        <v>13</v>
      </c>
      <c r="Q91" s="45" t="n">
        <f aca="false">IF(Q48&lt;=0,Q$6,0)</f>
        <v>14</v>
      </c>
      <c r="R91" s="45" t="n">
        <f aca="false">IF(R48&lt;=0,R$6,0)</f>
        <v>15</v>
      </c>
      <c r="S91" s="45" t="n">
        <f aca="false">IF(S48&lt;=0,S$6,0)</f>
        <v>16</v>
      </c>
      <c r="T91" s="45" t="n">
        <f aca="false">IF(T48&lt;=0,T$6,0)</f>
        <v>17</v>
      </c>
      <c r="U91" s="45" t="n">
        <f aca="false">IF(U48&lt;=0,U$6,0)</f>
        <v>18</v>
      </c>
      <c r="V91" s="45" t="n">
        <f aca="false">IF(V48&lt;=0,V$6,0)</f>
        <v>19</v>
      </c>
      <c r="W91" s="45" t="n">
        <f aca="false">IF(W48&lt;=0,W$6,0)</f>
        <v>20</v>
      </c>
      <c r="X91" s="45" t="n">
        <f aca="false">IF(X48&lt;=0,X$6,0)</f>
        <v>21</v>
      </c>
      <c r="Y91" s="45" t="n">
        <f aca="false">IF(Y48&lt;=0,Y$6,0)</f>
        <v>22</v>
      </c>
      <c r="Z91" s="45" t="n">
        <f aca="false">IF(Z48&lt;=0,Z$6,0)</f>
        <v>23</v>
      </c>
      <c r="AA91" s="45" t="n">
        <f aca="false">IF(AA48&lt;=0,AA$6,0)</f>
        <v>24</v>
      </c>
      <c r="AB91" s="45" t="n">
        <f aca="false">IF(AB48&lt;=0,AB$6,0)</f>
        <v>25</v>
      </c>
      <c r="AC91" s="45" t="n">
        <f aca="false">IF(AC48&lt;=0,AC$6,0)</f>
        <v>26</v>
      </c>
      <c r="AD91" s="45" t="n">
        <f aca="false">IF(AD48&lt;=0,AD$6,0)</f>
        <v>27</v>
      </c>
      <c r="AE91" s="45" t="n">
        <f aca="false">IF(AE48&lt;=0,AE$6,0)</f>
        <v>28</v>
      </c>
      <c r="AF91" s="45" t="n">
        <f aca="false">IF(AF48&lt;=0,AF$6,0)</f>
        <v>29</v>
      </c>
      <c r="AG91" s="45" t="n">
        <f aca="false">IF(AG48&lt;=0,AG$6,0)</f>
        <v>30</v>
      </c>
      <c r="AH91" s="45" t="n">
        <f aca="false">IF(AH48&lt;=0,AH$6,0)</f>
        <v>31</v>
      </c>
      <c r="AI91" s="45" t="n">
        <f aca="false">IF(AI48&lt;=0,AI$6,0)</f>
        <v>32</v>
      </c>
      <c r="AJ91" s="45" t="n">
        <f aca="false">IF(AJ48&lt;=0,AJ$6,0)</f>
        <v>33</v>
      </c>
      <c r="AK91" s="45" t="n">
        <f aca="false">IF(AK48&lt;=0,AK$6,0)</f>
        <v>34</v>
      </c>
      <c r="AL91" s="45" t="n">
        <f aca="false">IF(AL48&lt;=0,AL$6,0)</f>
        <v>35</v>
      </c>
      <c r="AM91" s="45" t="n">
        <f aca="false">IF(AM48&lt;=0,AM$6,0)</f>
        <v>36</v>
      </c>
    </row>
    <row r="92" customFormat="false" ht="15" hidden="false" customHeight="false" outlineLevel="0" collapsed="false">
      <c r="A92" s="10" t="s">
        <v>437</v>
      </c>
      <c r="B92" s="13" t="s">
        <v>85</v>
      </c>
      <c r="C92" s="50" t="n">
        <v>0</v>
      </c>
      <c r="D92" s="45" t="str">
        <f aca="false">IF(D88&lt;0,D$6,"")</f>
        <v/>
      </c>
      <c r="E92" s="45" t="str">
        <f aca="false">IF(E88&lt;0,E$6,"")</f>
        <v/>
      </c>
      <c r="F92" s="45" t="str">
        <f aca="false">IF(F88&lt;0,F$6,"")</f>
        <v/>
      </c>
      <c r="G92" s="45" t="str">
        <f aca="false">IF(G88&lt;0,G$6,"")</f>
        <v/>
      </c>
      <c r="H92" s="45" t="str">
        <f aca="false">IF(H88&lt;0,H$6,"")</f>
        <v/>
      </c>
      <c r="I92" s="45" t="str">
        <f aca="false">IF(I88&lt;0,I$6,"")</f>
        <v/>
      </c>
      <c r="J92" s="45" t="str">
        <f aca="false">IF(J88&lt;0,J$6,"")</f>
        <v/>
      </c>
      <c r="K92" s="45" t="str">
        <f aca="false">IF(K88&lt;0,K$6,"")</f>
        <v/>
      </c>
      <c r="L92" s="45" t="str">
        <f aca="false">IF(L88&lt;0,L$6,"")</f>
        <v/>
      </c>
      <c r="M92" s="45" t="str">
        <f aca="false">IF(M88&lt;0,M$6,"")</f>
        <v/>
      </c>
      <c r="N92" s="45" t="str">
        <f aca="false">IF(N88&lt;0,N$6,"")</f>
        <v/>
      </c>
      <c r="O92" s="45" t="str">
        <f aca="false">IF(O88&lt;0,O$6,"")</f>
        <v/>
      </c>
      <c r="P92" s="45" t="str">
        <f aca="false">IF(P88&lt;0,P$6,"")</f>
        <v/>
      </c>
      <c r="Q92" s="45" t="str">
        <f aca="false">IF(Q88&lt;0,Q$6,"")</f>
        <v/>
      </c>
      <c r="R92" s="45" t="str">
        <f aca="false">IF(R88&lt;0,R$6,"")</f>
        <v/>
      </c>
      <c r="S92" s="45" t="str">
        <f aca="false">IF(S88&lt;0,S$6,"")</f>
        <v/>
      </c>
      <c r="T92" s="45" t="str">
        <f aca="false">IF(T88&lt;0,T$6,"")</f>
        <v/>
      </c>
      <c r="U92" s="45" t="str">
        <f aca="false">IF(U88&lt;0,U$6,"")</f>
        <v/>
      </c>
      <c r="V92" s="45" t="str">
        <f aca="false">IF(V88&lt;0,V$6,"")</f>
        <v/>
      </c>
      <c r="W92" s="45" t="str">
        <f aca="false">IF(W88&lt;0,W$6,"")</f>
        <v/>
      </c>
      <c r="X92" s="45" t="str">
        <f aca="false">IF(X88&lt;0,X$6,"")</f>
        <v/>
      </c>
      <c r="Y92" s="45" t="str">
        <f aca="false">IF(Y88&lt;0,Y$6,"")</f>
        <v/>
      </c>
      <c r="Z92" s="45" t="str">
        <f aca="false">IF(Z88&lt;0,Z$6,"")</f>
        <v/>
      </c>
      <c r="AA92" s="45" t="str">
        <f aca="false">IF(AA88&lt;0,AA$6,"")</f>
        <v/>
      </c>
      <c r="AB92" s="45" t="str">
        <f aca="false">IF(AB88&lt;0,AB$6,"")</f>
        <v/>
      </c>
      <c r="AC92" s="45" t="str">
        <f aca="false">IF(AC88&lt;0,AC$6,"")</f>
        <v/>
      </c>
      <c r="AD92" s="45" t="str">
        <f aca="false">IF(AD88&lt;0,AD$6,"")</f>
        <v/>
      </c>
      <c r="AE92" s="45" t="str">
        <f aca="false">IF(AE88&lt;0,AE$6,"")</f>
        <v/>
      </c>
      <c r="AF92" s="45" t="str">
        <f aca="false">IF(AF88&lt;0,AF$6,"")</f>
        <v/>
      </c>
      <c r="AG92" s="45" t="str">
        <f aca="false">IF(AG88&lt;0,AG$6,"")</f>
        <v/>
      </c>
      <c r="AH92" s="45" t="n">
        <f aca="false">IF(AH88&lt;0,AH$6,"")</f>
        <v>31</v>
      </c>
      <c r="AI92" s="45" t="n">
        <f aca="false">IF(AI88&lt;0,AI$6,"")</f>
        <v>32</v>
      </c>
      <c r="AJ92" s="45" t="n">
        <f aca="false">IF(AJ88&lt;0,AJ$6,"")</f>
        <v>33</v>
      </c>
      <c r="AK92" s="45" t="n">
        <f aca="false">IF(AK88&lt;0,AK$6,"")</f>
        <v>34</v>
      </c>
      <c r="AL92" s="45" t="n">
        <f aca="false">IF(AL88&lt;0,AL$6,"")</f>
        <v>35</v>
      </c>
      <c r="AM92" s="45" t="n">
        <f aca="false">IF(AM88&lt;0,AM$6,"")</f>
        <v>36</v>
      </c>
    </row>
    <row r="93" customFormat="false" ht="15" hidden="false" customHeight="false" outlineLevel="0" collapsed="false">
      <c r="A93" s="10" t="s">
        <v>327</v>
      </c>
      <c r="B93" s="13" t="s">
        <v>161</v>
      </c>
      <c r="C93" s="50" t="n">
        <v>0</v>
      </c>
      <c r="D93" s="45" t="n">
        <f aca="false">SUM($D51:D51)+SUM($D52:D52)+D59*SUM($D60:D60)</f>
        <v>237600</v>
      </c>
      <c r="E93" s="45" t="n">
        <f aca="false">SUM($D51:E51)+SUM($D52:E52)+E59*SUM($D60:E60)</f>
        <v>237375.7848</v>
      </c>
      <c r="F93" s="45" t="n">
        <f aca="false">SUM($D51:F51)+SUM($D52:F52)+F59*SUM($D60:F60)</f>
        <v>236991.053648115</v>
      </c>
      <c r="G93" s="45" t="n">
        <f aca="false">SUM($D51:G51)+SUM($D52:G52)+G59*SUM($D60:G60)</f>
        <v>236459.013748964</v>
      </c>
      <c r="H93" s="45" t="n">
        <f aca="false">SUM($D51:H51)+SUM($D52:H52)+H59*SUM($D60:H60)</f>
        <v>235783.548433036</v>
      </c>
      <c r="I93" s="45" t="n">
        <f aca="false">SUM($D51:I51)+SUM($D52:I52)+I59*SUM($D60:I60)</f>
        <v>234977.205647573</v>
      </c>
      <c r="J93" s="45" t="n">
        <f aca="false">SUM($D51:J51)+SUM($D52:J52)+J59*SUM($D60:J60)</f>
        <v>234106.654366768</v>
      </c>
      <c r="K93" s="45" t="n">
        <f aca="false">SUM($D51:K51)+SUM($D52:K52)+K59*SUM($D60:K60)</f>
        <v>233392.856810103</v>
      </c>
      <c r="L93" s="45" t="n">
        <f aca="false">SUM($D51:L51)+SUM($D52:L52)+L59*SUM($D60:L60)</f>
        <v>232394.629239657</v>
      </c>
      <c r="M93" s="45" t="n">
        <f aca="false">SUM($D51:M51)+SUM($D52:M52)+M59*SUM($D60:M60)</f>
        <v>231391.626923301</v>
      </c>
      <c r="N93" s="45" t="n">
        <f aca="false">SUM($D51:N51)+SUM($D52:N52)+N59*SUM($D60:N60)</f>
        <v>230412.014622539</v>
      </c>
      <c r="O93" s="45" t="n">
        <f aca="false">SUM($D51:O51)+SUM($D52:O52)+O59*SUM($D60:O60)</f>
        <v>229421.419019532</v>
      </c>
      <c r="P93" s="45" t="n">
        <f aca="false">SUM($D51:P51)+SUM($D52:P52)+P59*SUM($D60:P60)</f>
        <v>228492.518784484</v>
      </c>
      <c r="Q93" s="45" t="n">
        <f aca="false">SUM($D51:Q51)+SUM($D52:Q52)+Q59*SUM($D60:Q60)</f>
        <v>228326.916805192</v>
      </c>
      <c r="R93" s="45" t="n">
        <f aca="false">SUM($D51:R51)+SUM($D52:R52)+R59*SUM($D60:R60)</f>
        <v>230664.100960575</v>
      </c>
      <c r="S93" s="45" t="n">
        <f aca="false">SUM($D51:S51)+SUM($D52:S52)+S59*SUM($D60:S60)</f>
        <v>232204.471328975</v>
      </c>
      <c r="T93" s="45" t="n">
        <f aca="false">SUM($D51:T51)+SUM($D52:T52)+T59*SUM($D60:T60)</f>
        <v>233884.875458296</v>
      </c>
      <c r="U93" s="45" t="n">
        <f aca="false">SUM($D51:U51)+SUM($D52:U52)+U59*SUM($D60:U60)</f>
        <v>235468.04289648</v>
      </c>
      <c r="V93" s="45" t="n">
        <f aca="false">SUM($D51:V51)+SUM($D52:V52)+V59*SUM($D60:V60)</f>
        <v>235133.457424285</v>
      </c>
      <c r="W93" s="45" t="n">
        <f aca="false">SUM($D51:W51)+SUM($D52:W52)+W59*SUM($D60:W60)</f>
        <v>233815.775638437</v>
      </c>
      <c r="X93" s="45" t="n">
        <f aca="false">SUM($D51:X51)+SUM($D52:X52)+X59*SUM($D60:X60)</f>
        <v>236555.067381733</v>
      </c>
      <c r="Y93" s="45" t="n">
        <f aca="false">SUM($D51:Y51)+SUM($D52:Y52)+Y59*SUM($D60:Y60)</f>
        <v>236099.312761596</v>
      </c>
      <c r="Z93" s="45" t="n">
        <f aca="false">SUM($D51:Z51)+SUM($D52:Z52)+Z59*SUM($D60:Z60)</f>
        <v>235191.595600375</v>
      </c>
      <c r="AA93" s="45" t="n">
        <f aca="false">SUM($D51:AA51)+SUM($D52:AA52)+AA59*SUM($D60:AA60)</f>
        <v>236240.309544808</v>
      </c>
      <c r="AB93" s="45" t="n">
        <f aca="false">SUM($D51:AB51)+SUM($D52:AB52)+AB59*SUM($D60:AB60)</f>
        <v>234530.570001768</v>
      </c>
      <c r="AC93" s="45" t="n">
        <f aca="false">SUM($D51:AC51)+SUM($D52:AC52)+AC59*SUM($D60:AC60)</f>
        <v>234710.747964796</v>
      </c>
      <c r="AD93" s="45" t="n">
        <f aca="false">SUM($D51:AD51)+SUM($D52:AD52)+AD59*SUM($D60:AD60)</f>
        <v>237971.555027508</v>
      </c>
      <c r="AE93" s="45" t="n">
        <f aca="false">SUM($D51:AE51)+SUM($D52:AE52)+AE59*SUM($D60:AE60)</f>
        <v>239556.667269418</v>
      </c>
      <c r="AF93" s="45" t="n">
        <f aca="false">SUM($D51:AF51)+SUM($D52:AF52)+AF59*SUM($D60:AF60)</f>
        <v>241553.309863394</v>
      </c>
      <c r="AG93" s="45" t="n">
        <f aca="false">SUM($D51:AG51)+SUM($D52:AG52)+AG59*SUM($D60:AG60)</f>
        <v>243429.823161785</v>
      </c>
      <c r="AH93" s="45" t="n">
        <f aca="false">SUM($D51:AH51)+SUM($D52:AH52)+AH59*SUM($D60:AH60)</f>
        <v>241710.336010541</v>
      </c>
      <c r="AI93" s="45" t="n">
        <f aca="false">SUM($D51:AI51)+SUM($D52:AI52)+AI59*SUM($D60:AI60)</f>
        <v>239867.924630821</v>
      </c>
      <c r="AJ93" s="45" t="n">
        <f aca="false">SUM($D51:AJ51)+SUM($D52:AJ52)+AJ59*SUM($D60:AJ60)</f>
        <v>242518.790720387</v>
      </c>
      <c r="AK93" s="45" t="n">
        <f aca="false">SUM($D51:AK51)+SUM($D52:AK52)+AK59*SUM($D60:AK60)</f>
        <v>241127.388902091</v>
      </c>
      <c r="AL93" s="45" t="n">
        <f aca="false">SUM($D51:AL51)+SUM($D52:AL52)+AL59*SUM($D60:AL60)</f>
        <v>239082.006153259</v>
      </c>
      <c r="AM93" s="45" t="n">
        <f aca="false">SUM($D51:AM51)+SUM($D52:AM52)+AM59*SUM($D60:AM60)</f>
        <v>240540.702109854</v>
      </c>
      <c r="AO93" s="45" t="n">
        <f aca="false">INDEX($D93:$AM93,(AO$4-annee_debut)*12+12)</f>
        <v>229421.419019532</v>
      </c>
      <c r="AP93" s="45" t="n">
        <f aca="false">INDEX($D93:$AM93,(AP$4-annee_debut)*12+12)</f>
        <v>236240.309544808</v>
      </c>
      <c r="AQ93" s="45" t="n">
        <f aca="false">INDEX($D93:$AM93,(AQ$4-annee_debut)*12+12)</f>
        <v>240540.702109854</v>
      </c>
    </row>
    <row r="94" customFormat="false" ht="15" hidden="false" customHeight="false" outlineLevel="0" collapsed="false">
      <c r="A94" s="10" t="s">
        <v>329</v>
      </c>
      <c r="B94" s="13" t="s">
        <v>161</v>
      </c>
      <c r="C94" s="50" t="n">
        <v>0</v>
      </c>
      <c r="D94" s="45" t="n">
        <f aca="false">C94+D56-D64-D62</f>
        <v>234742.063492064</v>
      </c>
      <c r="E94" s="45" t="n">
        <f aca="false">D94+E56-E64-E62</f>
        <v>231672.368184127</v>
      </c>
      <c r="F94" s="45" t="n">
        <f aca="false">E94+F56-F64-F62</f>
        <v>228467.98965363</v>
      </c>
      <c r="G94" s="45" t="n">
        <f aca="false">F94+G56-G64-G62</f>
        <v>225154.043967333</v>
      </c>
      <c r="H94" s="45" t="n">
        <f aca="false">G94+H56-H64-H62</f>
        <v>221746.150833209</v>
      </c>
      <c r="I94" s="45" t="n">
        <f aca="false">H94+I56-I64-I62</f>
        <v>218266.718992025</v>
      </c>
      <c r="J94" s="45" t="n">
        <f aca="false">I94+J56-J64-J62</f>
        <v>214780.360462119</v>
      </c>
      <c r="K94" s="45" t="n">
        <f aca="false">J94+K56-K64-K62</f>
        <v>211464.285455477</v>
      </c>
      <c r="L94" s="45" t="n">
        <f aca="false">K94+L56-L64-L62</f>
        <v>207974.543358315</v>
      </c>
      <c r="M94" s="45" t="n">
        <f aca="false">L94+M56-M64-M62</f>
        <v>204536.809920797</v>
      </c>
      <c r="N94" s="45" t="n">
        <f aca="false">M94+N56-N64-N62</f>
        <v>201171.041900573</v>
      </c>
      <c r="O94" s="45" t="n">
        <f aca="false">N94+O56-O64-O62</f>
        <v>197852.37458445</v>
      </c>
      <c r="P94" s="45" t="n">
        <f aca="false">O94+P56-P64-P62</f>
        <v>194628.156842468</v>
      </c>
      <c r="Q94" s="45" t="n">
        <f aca="false">P94+Q56-Q64-Q62</f>
        <v>192190.783595368</v>
      </c>
      <c r="R94" s="45" t="n">
        <f aca="false">Q94+R56-R64-R62</f>
        <v>192180.852234645</v>
      </c>
      <c r="S94" s="45" t="n">
        <f aca="false">R94+S56-S64-S62</f>
        <v>191328.969152977</v>
      </c>
      <c r="T94" s="45" t="n">
        <f aca="false">S94+T56-T64-T62</f>
        <v>190572.928278788</v>
      </c>
      <c r="U94" s="45" t="n">
        <f aca="false">T94+U56-U64-U62</f>
        <v>189682.894988513</v>
      </c>
      <c r="V94" s="45" t="n">
        <f aca="false">U94+V56-V64-V62</f>
        <v>186895.562090477</v>
      </c>
      <c r="W94" s="45" t="n">
        <f aca="false">V94+W56-W64-W62</f>
        <v>183105.950622144</v>
      </c>
      <c r="X94" s="45" t="n">
        <f aca="false">W94+X56-X64-X62</f>
        <v>183372.996688781</v>
      </c>
      <c r="Y94" s="45" t="n">
        <f aca="false">X94+Y56-Y64-Y62</f>
        <v>180468.713177289</v>
      </c>
      <c r="Z94" s="45" t="n">
        <f aca="false">Y94+Z56-Z64-Z62</f>
        <v>177146.197340908</v>
      </c>
      <c r="AA94" s="45" t="n">
        <f aca="false">Z94+AA56-AA64-AA62</f>
        <v>175755.883566147</v>
      </c>
      <c r="AB94" s="45" t="n">
        <f aca="false">AA94+AB56-AB64-AB62</f>
        <v>171655.340837667</v>
      </c>
      <c r="AC94" s="45" t="n">
        <f aca="false">AB94+AC56-AC64-AC62</f>
        <v>169448.807724584</v>
      </c>
      <c r="AD94" s="45" t="n">
        <f aca="false">AC94+AD56-AD64-AD62</f>
        <v>170234.218250478</v>
      </c>
      <c r="AE94" s="45" t="n">
        <f aca="false">AD94+AE56-AE64-AE62</f>
        <v>169311.297586864</v>
      </c>
      <c r="AF94" s="45" t="n">
        <f aca="false">AE94+AF56-AF64-AF62</f>
        <v>168759.336261734</v>
      </c>
      <c r="AG94" s="45" t="n">
        <f aca="false">AF94+AG56-AG64-AG62</f>
        <v>168054.358446625</v>
      </c>
      <c r="AH94" s="45" t="n">
        <f aca="false">AG94+AH56-AH64-AH62</f>
        <v>163823.905516838</v>
      </c>
      <c r="AI94" s="45" t="n">
        <f aca="false">AH94+AI56-AI64-AI62</f>
        <v>159437.858203917</v>
      </c>
      <c r="AJ94" s="45" t="n">
        <f aca="false">AI94+AJ56-AJ64-AJ62</f>
        <v>159589.212847557</v>
      </c>
      <c r="AK94" s="45" t="n">
        <f aca="false">AJ94+AK56-AK64-AK62</f>
        <v>155750.927901008</v>
      </c>
      <c r="AL94" s="45" t="n">
        <f aca="false">AK94+AL56-AL64-AL62</f>
        <v>151323.817730235</v>
      </c>
      <c r="AM94" s="45" t="n">
        <f aca="false">AL94+AM56-AM64-AM62</f>
        <v>150361.62548307</v>
      </c>
      <c r="AO94" s="45" t="n">
        <f aca="false">INDEX($D94:$AM94,(AO$4-annee_debut)*12+12)</f>
        <v>197852.37458445</v>
      </c>
      <c r="AP94" s="45" t="n">
        <f aca="false">INDEX($D94:$AM94,(AP$4-annee_debut)*12+12)</f>
        <v>175755.883566147</v>
      </c>
      <c r="AQ94" s="45" t="n">
        <f aca="false">INDEX($D94:$AM94,(AQ$4-annee_debut)*12+12)</f>
        <v>150361.62548307</v>
      </c>
    </row>
    <row r="95" customFormat="false" ht="15" hidden="false" customHeight="false" outlineLevel="0" collapsed="false">
      <c r="A95" s="10" t="s">
        <v>438</v>
      </c>
      <c r="B95" s="13" t="s">
        <v>161</v>
      </c>
      <c r="C95" s="50" t="n">
        <v>0</v>
      </c>
      <c r="D95" s="45" t="n">
        <f aca="false">D93-D94</f>
        <v>2857.93650793651</v>
      </c>
      <c r="E95" s="45" t="n">
        <f aca="false">E93-E94</f>
        <v>5703.41661587299</v>
      </c>
      <c r="F95" s="45" t="n">
        <f aca="false">F93-F94</f>
        <v>8523.06399448583</v>
      </c>
      <c r="G95" s="45" t="n">
        <f aca="false">G93-G94</f>
        <v>11304.969781631</v>
      </c>
      <c r="H95" s="45" t="n">
        <f aca="false">H93-H94</f>
        <v>14037.3975998264</v>
      </c>
      <c r="I95" s="45" t="n">
        <f aca="false">I93-I94</f>
        <v>16710.4866555479</v>
      </c>
      <c r="J95" s="45" t="n">
        <f aca="false">J93-J94</f>
        <v>19326.2939046493</v>
      </c>
      <c r="K95" s="45" t="n">
        <f aca="false">K93-K94</f>
        <v>21928.5713546261</v>
      </c>
      <c r="L95" s="45" t="n">
        <f aca="false">L93-L94</f>
        <v>24420.0858813429</v>
      </c>
      <c r="M95" s="45" t="n">
        <f aca="false">M93-M94</f>
        <v>26854.8170025043</v>
      </c>
      <c r="N95" s="45" t="n">
        <f aca="false">N93-N94</f>
        <v>29240.9727219663</v>
      </c>
      <c r="O95" s="45" t="n">
        <f aca="false">O93-O94</f>
        <v>31569.0444350822</v>
      </c>
      <c r="P95" s="45" t="n">
        <f aca="false">P93-P94</f>
        <v>33864.3619420159</v>
      </c>
      <c r="Q95" s="45" t="n">
        <f aca="false">Q93-Q94</f>
        <v>36136.1332098239</v>
      </c>
      <c r="R95" s="45" t="n">
        <f aca="false">R93-R94</f>
        <v>38483.2487259302</v>
      </c>
      <c r="S95" s="45" t="n">
        <f aca="false">S93-S94</f>
        <v>40875.5021759976</v>
      </c>
      <c r="T95" s="45" t="n">
        <f aca="false">T93-T94</f>
        <v>43311.9471795084</v>
      </c>
      <c r="U95" s="45" t="n">
        <f aca="false">U93-U94</f>
        <v>45785.1479079666</v>
      </c>
      <c r="V95" s="45" t="n">
        <f aca="false">V93-V94</f>
        <v>48237.8953338081</v>
      </c>
      <c r="W95" s="45" t="n">
        <f aca="false">W93-W94</f>
        <v>50709.8250162925</v>
      </c>
      <c r="X95" s="45" t="n">
        <f aca="false">X93-X94</f>
        <v>53182.070692951</v>
      </c>
      <c r="Y95" s="45" t="n">
        <f aca="false">Y93-Y94</f>
        <v>55630.5995843061</v>
      </c>
      <c r="Z95" s="45" t="n">
        <f aca="false">Z93-Z94</f>
        <v>58045.3982594674</v>
      </c>
      <c r="AA95" s="45" t="n">
        <f aca="false">AA93-AA94</f>
        <v>60484.4259786603</v>
      </c>
      <c r="AB95" s="45" t="n">
        <f aca="false">AB93-AB94</f>
        <v>62875.2291641007</v>
      </c>
      <c r="AC95" s="45" t="n">
        <f aca="false">AC93-AC94</f>
        <v>65261.9402402118</v>
      </c>
      <c r="AD95" s="45" t="n">
        <f aca="false">AD93-AD94</f>
        <v>67737.3367770303</v>
      </c>
      <c r="AE95" s="45" t="n">
        <f aca="false">AE93-AE94</f>
        <v>70245.3696825533</v>
      </c>
      <c r="AF95" s="45" t="n">
        <f aca="false">AF93-AF94</f>
        <v>72793.9736016598</v>
      </c>
      <c r="AG95" s="45" t="n">
        <f aca="false">AG93-AG94</f>
        <v>75375.4647151596</v>
      </c>
      <c r="AH95" s="45" t="n">
        <f aca="false">AH93-AH94</f>
        <v>77886.4304937034</v>
      </c>
      <c r="AI95" s="45" t="n">
        <f aca="false">AI93-AI94</f>
        <v>80430.0664269041</v>
      </c>
      <c r="AJ95" s="45" t="n">
        <f aca="false">AJ93-AJ94</f>
        <v>82929.5778728305</v>
      </c>
      <c r="AK95" s="45" t="n">
        <f aca="false">AK93-AK94</f>
        <v>85376.461001083</v>
      </c>
      <c r="AL95" s="45" t="n">
        <f aca="false">AL93-AL94</f>
        <v>87758.1884230246</v>
      </c>
      <c r="AM95" s="45" t="n">
        <f aca="false">AM93-AM94</f>
        <v>90179.0766267838</v>
      </c>
      <c r="AO95" s="45" t="n">
        <f aca="false">INDEX($D95:$AM95,(AO$4-annee_debut)*12+12)</f>
        <v>31569.0444350822</v>
      </c>
      <c r="AP95" s="45" t="n">
        <f aca="false">INDEX($D95:$AM95,(AP$4-annee_debut)*12+12)</f>
        <v>60484.4259786603</v>
      </c>
      <c r="AQ95" s="45" t="n">
        <f aca="false">INDEX($D95:$AM95,(AQ$4-annee_debut)*12+12)</f>
        <v>90179.0766267838</v>
      </c>
    </row>
    <row r="96" customFormat="false" ht="15" hidden="false" customHeight="false" outlineLevel="0" collapsed="false">
      <c r="A96" s="10" t="s">
        <v>334</v>
      </c>
      <c r="B96" s="13" t="s">
        <v>161</v>
      </c>
      <c r="C96" s="50" t="n">
        <v>0</v>
      </c>
      <c r="D96" s="45" t="n">
        <f aca="false">C96+IF(D$6=mois_apport,apport,0)+part_nominale*(IF(D$6=mois_levee,levee,0)+D85/(1-decote_tranche))</f>
        <v>51612.9032258065</v>
      </c>
      <c r="E96" s="45" t="n">
        <f aca="false">D96+IF(E$6=mois_apport,apport,0)+part_nominale*(IF(E$6=mois_levee,levee,0)+E85/(1-decote_tranche))</f>
        <v>51612.9032258065</v>
      </c>
      <c r="F96" s="45" t="n">
        <f aca="false">E96+IF(F$6=mois_apport,apport,0)+part_nominale*(IF(F$6=mois_levee,levee,0)+F85/(1-decote_tranche))</f>
        <v>51612.9032258065</v>
      </c>
      <c r="G96" s="45" t="n">
        <f aca="false">F96+IF(G$6=mois_apport,apport,0)+part_nominale*(IF(G$6=mois_levee,levee,0)+G85/(1-decote_tranche))</f>
        <v>51612.9032258065</v>
      </c>
      <c r="H96" s="45" t="n">
        <f aca="false">G96+IF(H$6=mois_apport,apport,0)+part_nominale*(IF(H$6=mois_levee,levee,0)+H85/(1-decote_tranche))</f>
        <v>51612.9032258065</v>
      </c>
      <c r="I96" s="45" t="n">
        <f aca="false">H96+IF(I$6=mois_apport,apport,0)+part_nominale*(IF(I$6=mois_levee,levee,0)+I85/(1-decote_tranche))</f>
        <v>51612.9032258065</v>
      </c>
      <c r="J96" s="45" t="n">
        <f aca="false">I96+IF(J$6=mois_apport,apport,0)+part_nominale*(IF(J$6=mois_levee,levee,0)+J85/(1-decote_tranche))</f>
        <v>51612.9032258065</v>
      </c>
      <c r="K96" s="45" t="n">
        <f aca="false">J96+IF(K$6=mois_apport,apport,0)+part_nominale*(IF(K$6=mois_levee,levee,0)+K85/(1-decote_tranche))</f>
        <v>51612.9032258065</v>
      </c>
      <c r="L96" s="45" t="n">
        <f aca="false">K96+IF(L$6=mois_apport,apport,0)+part_nominale*(IF(L$6=mois_levee,levee,0)+L85/(1-decote_tranche))</f>
        <v>51612.9032258065</v>
      </c>
      <c r="M96" s="45" t="n">
        <f aca="false">L96+IF(M$6=mois_apport,apport,0)+part_nominale*(IF(M$6=mois_levee,levee,0)+M85/(1-decote_tranche))</f>
        <v>51612.9032258065</v>
      </c>
      <c r="N96" s="45" t="n">
        <f aca="false">M96+IF(N$6=mois_apport,apport,0)+part_nominale*(IF(N$6=mois_levee,levee,0)+N85/(1-decote_tranche))</f>
        <v>51612.9032258065</v>
      </c>
      <c r="O96" s="45" t="n">
        <f aca="false">N96+IF(O$6=mois_apport,apport,0)+part_nominale*(IF(O$6=mois_levee,levee,0)+O85/(1-decote_tranche))</f>
        <v>51612.9032258065</v>
      </c>
      <c r="P96" s="45" t="n">
        <f aca="false">O96+IF(P$6=mois_apport,apport,0)+part_nominale*(IF(P$6=mois_levee,levee,0)+P85/(1-decote_tranche))</f>
        <v>51612.9032258065</v>
      </c>
      <c r="Q96" s="45" t="n">
        <f aca="false">P96+IF(Q$6=mois_apport,apport,0)+part_nominale*(IF(Q$6=mois_levee,levee,0)+Q85/(1-decote_tranche))</f>
        <v>51612.9032258065</v>
      </c>
      <c r="R96" s="45" t="n">
        <f aca="false">Q96+IF(R$6=mois_apport,apport,0)+part_nominale*(IF(R$6=mois_levee,levee,0)+R85/(1-decote_tranche))</f>
        <v>51612.9032258065</v>
      </c>
      <c r="S96" s="45" t="n">
        <f aca="false">R96+IF(S$6=mois_apport,apport,0)+part_nominale*(IF(S$6=mois_levee,levee,0)+S85/(1-decote_tranche))</f>
        <v>51612.9032258065</v>
      </c>
      <c r="T96" s="45" t="n">
        <f aca="false">S96+IF(T$6=mois_apport,apport,0)+part_nominale*(IF(T$6=mois_levee,levee,0)+T85/(1-decote_tranche))</f>
        <v>51612.9032258065</v>
      </c>
      <c r="U96" s="45" t="n">
        <f aca="false">T96+IF(U$6=mois_apport,apport,0)+part_nominale*(IF(U$6=mois_levee,levee,0)+U85/(1-decote_tranche))</f>
        <v>51612.9032258065</v>
      </c>
      <c r="V96" s="45" t="n">
        <f aca="false">U96+IF(V$6=mois_apport,apport,0)+part_nominale*(IF(V$6=mois_levee,levee,0)+V85/(1-decote_tranche))</f>
        <v>51612.9032258065</v>
      </c>
      <c r="W96" s="45" t="n">
        <f aca="false">V96+IF(W$6=mois_apport,apport,0)+part_nominale*(IF(W$6=mois_levee,levee,0)+W85/(1-decote_tranche))</f>
        <v>51612.9032258065</v>
      </c>
      <c r="X96" s="45" t="n">
        <f aca="false">W96+IF(X$6=mois_apport,apport,0)+part_nominale*(IF(X$6=mois_levee,levee,0)+X85/(1-decote_tranche))</f>
        <v>51612.9032258065</v>
      </c>
      <c r="Y96" s="45" t="n">
        <f aca="false">X96+IF(Y$6=mois_apport,apport,0)+part_nominale*(IF(Y$6=mois_levee,levee,0)+Y85/(1-decote_tranche))</f>
        <v>51612.9032258065</v>
      </c>
      <c r="Z96" s="45" t="n">
        <f aca="false">Y96+IF(Z$6=mois_apport,apport,0)+part_nominale*(IF(Z$6=mois_levee,levee,0)+Z85/(1-decote_tranche))</f>
        <v>51612.9032258065</v>
      </c>
      <c r="AA96" s="45" t="n">
        <f aca="false">Z96+IF(AA$6=mois_apport,apport,0)+part_nominale*(IF(AA$6=mois_levee,levee,0)+AA85/(1-decote_tranche))</f>
        <v>51612.9032258065</v>
      </c>
      <c r="AB96" s="45" t="n">
        <f aca="false">AA96+IF(AB$6=mois_apport,apport,0)+part_nominale*(IF(AB$6=mois_levee,levee,0)+AB85/(1-decote_tranche))</f>
        <v>51612.9032258065</v>
      </c>
      <c r="AC96" s="45" t="n">
        <f aca="false">AB96+IF(AC$6=mois_apport,apport,0)+part_nominale*(IF(AC$6=mois_levee,levee,0)+AC85/(1-decote_tranche))</f>
        <v>51612.9032258065</v>
      </c>
      <c r="AD96" s="45" t="n">
        <f aca="false">AC96+IF(AD$6=mois_apport,apport,0)+part_nominale*(IF(AD$6=mois_levee,levee,0)+AD85/(1-decote_tranche))</f>
        <v>51612.9032258065</v>
      </c>
      <c r="AE96" s="45" t="n">
        <f aca="false">AD96+IF(AE$6=mois_apport,apport,0)+part_nominale*(IF(AE$6=mois_levee,levee,0)+AE85/(1-decote_tranche))</f>
        <v>51612.9032258065</v>
      </c>
      <c r="AF96" s="45" t="n">
        <f aca="false">AE96+IF(AF$6=mois_apport,apport,0)+part_nominale*(IF(AF$6=mois_levee,levee,0)+AF85/(1-decote_tranche))</f>
        <v>51612.9032258065</v>
      </c>
      <c r="AG96" s="45" t="n">
        <f aca="false">AF96+IF(AG$6=mois_apport,apport,0)+part_nominale*(IF(AG$6=mois_levee,levee,0)+AG85/(1-decote_tranche))</f>
        <v>51612.9032258065</v>
      </c>
      <c r="AH96" s="45" t="n">
        <f aca="false">AG96+IF(AH$6=mois_apport,apport,0)+part_nominale*(IF(AH$6=mois_levee,levee,0)+AH85/(1-decote_tranche))</f>
        <v>51612.9032258065</v>
      </c>
      <c r="AI96" s="45" t="n">
        <f aca="false">AH96+IF(AI$6=mois_apport,apport,0)+part_nominale*(IF(AI$6=mois_levee,levee,0)+AI85/(1-decote_tranche))</f>
        <v>51612.9032258065</v>
      </c>
      <c r="AJ96" s="45" t="n">
        <f aca="false">AI96+IF(AJ$6=mois_apport,apport,0)+part_nominale*(IF(AJ$6=mois_levee,levee,0)+AJ85/(1-decote_tranche))</f>
        <v>51612.9032258065</v>
      </c>
      <c r="AK96" s="45" t="n">
        <f aca="false">AJ96+IF(AK$6=mois_apport,apport,0)+part_nominale*(IF(AK$6=mois_levee,levee,0)+AK85/(1-decote_tranche))</f>
        <v>51612.9032258065</v>
      </c>
      <c r="AL96" s="45" t="n">
        <f aca="false">AK96+IF(AL$6=mois_apport,apport,0)+part_nominale*(IF(AL$6=mois_levee,levee,0)+AL85/(1-decote_tranche))</f>
        <v>51612.9032258065</v>
      </c>
      <c r="AM96" s="45" t="n">
        <f aca="false">AL96+IF(AM$6=mois_apport,apport,0)+part_nominale*(IF(AM$6=mois_levee,levee,0)+AM85/(1-decote_tranche))</f>
        <v>51612.9032258065</v>
      </c>
      <c r="AO96" s="45" t="n">
        <f aca="false">INDEX($D96:$AM96,(AO$4-annee_debut)*12+12)</f>
        <v>51612.9032258065</v>
      </c>
      <c r="AP96" s="45" t="n">
        <f aca="false">INDEX($D96:$AM96,(AP$4-annee_debut)*12+12)</f>
        <v>51612.9032258065</v>
      </c>
      <c r="AQ96" s="45" t="n">
        <f aca="false">INDEX($D96:$AM96,(AQ$4-annee_debut)*12+12)</f>
        <v>51612.9032258065</v>
      </c>
    </row>
    <row r="97" customFormat="false" ht="15" hidden="false" customHeight="false" outlineLevel="0" collapsed="false">
      <c r="A97" s="10" t="s">
        <v>335</v>
      </c>
      <c r="B97" s="13" t="s">
        <v>161</v>
      </c>
      <c r="C97" s="50" t="n">
        <v>0</v>
      </c>
      <c r="D97" s="45" t="n">
        <f aca="false">C97+(1-part_nominale)*IF(D$6=mois_levee,levee,0)+D85*(1-part_nominale/(1-decote_tranche))</f>
        <v>688387.096774194</v>
      </c>
      <c r="E97" s="45" t="n">
        <f aca="false">D97+(1-part_nominale)*IF(E$6=mois_levee,levee,0)+E85*(1-part_nominale/(1-decote_tranche))</f>
        <v>688387.096774194</v>
      </c>
      <c r="F97" s="45" t="n">
        <f aca="false">E97+(1-part_nominale)*IF(F$6=mois_levee,levee,0)+F85*(1-part_nominale/(1-decote_tranche))</f>
        <v>688387.096774194</v>
      </c>
      <c r="G97" s="45" t="n">
        <f aca="false">F97+(1-part_nominale)*IF(G$6=mois_levee,levee,0)+G85*(1-part_nominale/(1-decote_tranche))</f>
        <v>688387.096774194</v>
      </c>
      <c r="H97" s="45" t="n">
        <f aca="false">G97+(1-part_nominale)*IF(H$6=mois_levee,levee,0)+H85*(1-part_nominale/(1-decote_tranche))</f>
        <v>688387.096774194</v>
      </c>
      <c r="I97" s="45" t="n">
        <f aca="false">H97+(1-part_nominale)*IF(I$6=mois_levee,levee,0)+I85*(1-part_nominale/(1-decote_tranche))</f>
        <v>688387.096774194</v>
      </c>
      <c r="J97" s="45" t="n">
        <f aca="false">I97+(1-part_nominale)*IF(J$6=mois_levee,levee,0)+J85*(1-part_nominale/(1-decote_tranche))</f>
        <v>688387.096774194</v>
      </c>
      <c r="K97" s="45" t="n">
        <f aca="false">J97+(1-part_nominale)*IF(K$6=mois_levee,levee,0)+K85*(1-part_nominale/(1-decote_tranche))</f>
        <v>688387.096774194</v>
      </c>
      <c r="L97" s="45" t="n">
        <f aca="false">K97+(1-part_nominale)*IF(L$6=mois_levee,levee,0)+L85*(1-part_nominale/(1-decote_tranche))</f>
        <v>688387.096774194</v>
      </c>
      <c r="M97" s="45" t="n">
        <f aca="false">L97+(1-part_nominale)*IF(M$6=mois_levee,levee,0)+M85*(1-part_nominale/(1-decote_tranche))</f>
        <v>688387.096774194</v>
      </c>
      <c r="N97" s="45" t="n">
        <f aca="false">M97+(1-part_nominale)*IF(N$6=mois_levee,levee,0)+N85*(1-part_nominale/(1-decote_tranche))</f>
        <v>688387.096774194</v>
      </c>
      <c r="O97" s="45" t="n">
        <f aca="false">N97+(1-part_nominale)*IF(O$6=mois_levee,levee,0)+O85*(1-part_nominale/(1-decote_tranche))</f>
        <v>688387.096774194</v>
      </c>
      <c r="P97" s="45" t="n">
        <f aca="false">O97+(1-part_nominale)*IF(P$6=mois_levee,levee,0)+P85*(1-part_nominale/(1-decote_tranche))</f>
        <v>688387.096774194</v>
      </c>
      <c r="Q97" s="45" t="n">
        <f aca="false">P97+(1-part_nominale)*IF(Q$6=mois_levee,levee,0)+Q85*(1-part_nominale/(1-decote_tranche))</f>
        <v>688387.096774194</v>
      </c>
      <c r="R97" s="45" t="n">
        <f aca="false">Q97+(1-part_nominale)*IF(R$6=mois_levee,levee,0)+R85*(1-part_nominale/(1-decote_tranche))</f>
        <v>688387.096774194</v>
      </c>
      <c r="S97" s="45" t="n">
        <f aca="false">R97+(1-part_nominale)*IF(S$6=mois_levee,levee,0)+S85*(1-part_nominale/(1-decote_tranche))</f>
        <v>688387.096774194</v>
      </c>
      <c r="T97" s="45" t="n">
        <f aca="false">S97+(1-part_nominale)*IF(T$6=mois_levee,levee,0)+T85*(1-part_nominale/(1-decote_tranche))</f>
        <v>688387.096774194</v>
      </c>
      <c r="U97" s="45" t="n">
        <f aca="false">T97+(1-part_nominale)*IF(U$6=mois_levee,levee,0)+U85*(1-part_nominale/(1-decote_tranche))</f>
        <v>688387.096774194</v>
      </c>
      <c r="V97" s="45" t="n">
        <f aca="false">U97+(1-part_nominale)*IF(V$6=mois_levee,levee,0)+V85*(1-part_nominale/(1-decote_tranche))</f>
        <v>688387.096774194</v>
      </c>
      <c r="W97" s="45" t="n">
        <f aca="false">V97+(1-part_nominale)*IF(W$6=mois_levee,levee,0)+W85*(1-part_nominale/(1-decote_tranche))</f>
        <v>688387.096774194</v>
      </c>
      <c r="X97" s="45" t="n">
        <f aca="false">W97+(1-part_nominale)*IF(X$6=mois_levee,levee,0)+X85*(1-part_nominale/(1-decote_tranche))</f>
        <v>688387.096774194</v>
      </c>
      <c r="Y97" s="45" t="n">
        <f aca="false">X97+(1-part_nominale)*IF(Y$6=mois_levee,levee,0)+Y85*(1-part_nominale/(1-decote_tranche))</f>
        <v>688387.096774194</v>
      </c>
      <c r="Z97" s="45" t="n">
        <f aca="false">Y97+(1-part_nominale)*IF(Z$6=mois_levee,levee,0)+Z85*(1-part_nominale/(1-decote_tranche))</f>
        <v>688387.096774194</v>
      </c>
      <c r="AA97" s="45" t="n">
        <f aca="false">Z97+(1-part_nominale)*IF(AA$6=mois_levee,levee,0)+AA85*(1-part_nominale/(1-decote_tranche))</f>
        <v>688387.096774194</v>
      </c>
      <c r="AB97" s="45" t="n">
        <f aca="false">AA97+(1-part_nominale)*IF(AB$6=mois_levee,levee,0)+AB85*(1-part_nominale/(1-decote_tranche))</f>
        <v>688387.096774194</v>
      </c>
      <c r="AC97" s="45" t="n">
        <f aca="false">AB97+(1-part_nominale)*IF(AC$6=mois_levee,levee,0)+AC85*(1-part_nominale/(1-decote_tranche))</f>
        <v>688387.096774194</v>
      </c>
      <c r="AD97" s="45" t="n">
        <f aca="false">AC97+(1-part_nominale)*IF(AD$6=mois_levee,levee,0)+AD85*(1-part_nominale/(1-decote_tranche))</f>
        <v>688387.096774194</v>
      </c>
      <c r="AE97" s="45" t="n">
        <f aca="false">AD97+(1-part_nominale)*IF(AE$6=mois_levee,levee,0)+AE85*(1-part_nominale/(1-decote_tranche))</f>
        <v>688387.096774194</v>
      </c>
      <c r="AF97" s="45" t="n">
        <f aca="false">AE97+(1-part_nominale)*IF(AF$6=mois_levee,levee,0)+AF85*(1-part_nominale/(1-decote_tranche))</f>
        <v>688387.096774194</v>
      </c>
      <c r="AG97" s="45" t="n">
        <f aca="false">AF97+(1-part_nominale)*IF(AG$6=mois_levee,levee,0)+AG85*(1-part_nominale/(1-decote_tranche))</f>
        <v>688387.096774194</v>
      </c>
      <c r="AH97" s="45" t="n">
        <f aca="false">AG97+(1-part_nominale)*IF(AH$6=mois_levee,levee,0)+AH85*(1-part_nominale/(1-decote_tranche))</f>
        <v>688387.096774194</v>
      </c>
      <c r="AI97" s="45" t="n">
        <f aca="false">AH97+(1-part_nominale)*IF(AI$6=mois_levee,levee,0)+AI85*(1-part_nominale/(1-decote_tranche))</f>
        <v>688387.096774194</v>
      </c>
      <c r="AJ97" s="45" t="n">
        <f aca="false">AI97+(1-part_nominale)*IF(AJ$6=mois_levee,levee,0)+AJ85*(1-part_nominale/(1-decote_tranche))</f>
        <v>688387.096774194</v>
      </c>
      <c r="AK97" s="45" t="n">
        <f aca="false">AJ97+(1-part_nominale)*IF(AK$6=mois_levee,levee,0)+AK85*(1-part_nominale/(1-decote_tranche))</f>
        <v>688387.096774194</v>
      </c>
      <c r="AL97" s="45" t="n">
        <f aca="false">AK97+(1-part_nominale)*IF(AL$6=mois_levee,levee,0)+AL85*(1-part_nominale/(1-decote_tranche))</f>
        <v>688387.096774194</v>
      </c>
      <c r="AM97" s="45" t="n">
        <f aca="false">AL97+(1-part_nominale)*IF(AM$6=mois_levee,levee,0)+AM85*(1-part_nominale/(1-decote_tranche))</f>
        <v>688387.096774194</v>
      </c>
      <c r="AO97" s="45" t="n">
        <f aca="false">INDEX($D97:$AM97,(AO$4-annee_debut)*12+12)</f>
        <v>688387.096774194</v>
      </c>
      <c r="AP97" s="45" t="n">
        <f aca="false">INDEX($D97:$AM97,(AP$4-annee_debut)*12+12)</f>
        <v>688387.096774194</v>
      </c>
      <c r="AQ97" s="45" t="n">
        <f aca="false">INDEX($D97:$AM97,(AQ$4-annee_debut)*12+12)</f>
        <v>688387.096774194</v>
      </c>
    </row>
    <row r="98" customFormat="false" ht="15" hidden="false" customHeight="false" outlineLevel="0" collapsed="false">
      <c r="A98" s="10" t="s">
        <v>336</v>
      </c>
      <c r="B98" s="13" t="s">
        <v>161</v>
      </c>
      <c r="C98" s="50" t="n">
        <v>0</v>
      </c>
      <c r="D98" s="45" t="n">
        <f aca="false">C98+D75</f>
        <v>-22393.1098412698</v>
      </c>
      <c r="E98" s="45" t="n">
        <f aca="false">D98+E75</f>
        <v>-45133.6216825397</v>
      </c>
      <c r="F98" s="45" t="n">
        <f aca="false">E98+F75</f>
        <v>-67261.2124263705</v>
      </c>
      <c r="G98" s="45" t="n">
        <f aca="false">F98+G75</f>
        <v>-93601.8564965812</v>
      </c>
      <c r="H98" s="45" t="n">
        <f aca="false">G98+H75</f>
        <v>-119273.141490102</v>
      </c>
      <c r="I98" s="45" t="n">
        <f aca="false">H98+I75</f>
        <v>-144234.314674458</v>
      </c>
      <c r="J98" s="45" t="n">
        <f aca="false">I98+J75</f>
        <v>-168619.222346128</v>
      </c>
      <c r="K98" s="45" t="n">
        <f aca="false">J98+K75</f>
        <v>-193200.6967307</v>
      </c>
      <c r="L98" s="45" t="n">
        <f aca="false">K98+L75</f>
        <v>-216264.38141893</v>
      </c>
      <c r="M98" s="45" t="n">
        <f aca="false">L98+M75</f>
        <v>-238728.632036126</v>
      </c>
      <c r="N98" s="45" t="n">
        <f aca="false">M98+N75</f>
        <v>-260661.443753734</v>
      </c>
      <c r="O98" s="45" t="n">
        <f aca="false">N98+O75</f>
        <v>-281824.867046418</v>
      </c>
      <c r="P98" s="45" t="n">
        <f aca="false">O98+P75</f>
        <v>-309655.284772509</v>
      </c>
      <c r="Q98" s="45" t="n">
        <f aca="false">P98+Q75</f>
        <v>-336349.969471738</v>
      </c>
      <c r="R98" s="45" t="n">
        <f aca="false">Q98+R75</f>
        <v>-361596.3437758</v>
      </c>
      <c r="S98" s="45" t="n">
        <f aca="false">R98+S75</f>
        <v>-385852.988234581</v>
      </c>
      <c r="T98" s="45" t="n">
        <f aca="false">S98+T75</f>
        <v>-408916.857096259</v>
      </c>
      <c r="U98" s="45" t="n">
        <f aca="false">T98+U75</f>
        <v>-434591.748894241</v>
      </c>
      <c r="V98" s="45" t="n">
        <f aca="false">U98+V75</f>
        <v>-459681.425509601</v>
      </c>
      <c r="W98" s="45" t="n">
        <f aca="false">V98+W75</f>
        <v>-482792.946190551</v>
      </c>
      <c r="X98" s="45" t="n">
        <f aca="false">W98+X75</f>
        <v>-505644.321274147</v>
      </c>
      <c r="Y98" s="45" t="n">
        <f aca="false">X98+Y75</f>
        <v>-528044.3222447</v>
      </c>
      <c r="Z98" s="45" t="n">
        <f aca="false">Y98+Z75</f>
        <v>-552732.612845928</v>
      </c>
      <c r="AA98" s="45" t="n">
        <f aca="false">Z98+AA75</f>
        <v>-576095.864361467</v>
      </c>
      <c r="AB98" s="45" t="n">
        <f aca="false">AA98+AB75</f>
        <v>-602307.39754252</v>
      </c>
      <c r="AC98" s="45" t="n">
        <f aca="false">AB98+AC75</f>
        <v>-627124.878448603</v>
      </c>
      <c r="AD98" s="45" t="n">
        <f aca="false">AC98+AD75</f>
        <v>-649878.790780956</v>
      </c>
      <c r="AE98" s="45" t="n">
        <f aca="false">AD98+AE75</f>
        <v>-671373.275940254</v>
      </c>
      <c r="AF98" s="45" t="n">
        <f aca="false">AE98+AF75</f>
        <v>-691211.114351128</v>
      </c>
      <c r="AG98" s="45" t="n">
        <f aca="false">AF98+AG75</f>
        <v>-713297.631854166</v>
      </c>
      <c r="AH98" s="45" t="n">
        <f aca="false">AG98+AH75</f>
        <v>-734964.273671343</v>
      </c>
      <c r="AI98" s="45" t="n">
        <f aca="false">AH98+AI75</f>
        <v>-756885.360808461</v>
      </c>
      <c r="AJ98" s="45" t="n">
        <f aca="false">AI98+AJ75</f>
        <v>-775804.487921799</v>
      </c>
      <c r="AK98" s="45" t="n">
        <f aca="false">AJ98+AK75</f>
        <v>-794326.205598362</v>
      </c>
      <c r="AL98" s="45" t="n">
        <f aca="false">AK98+AL75</f>
        <v>-812327.106216208</v>
      </c>
      <c r="AM98" s="45" t="n">
        <f aca="false">AL98+AM75</f>
        <v>-828544.304064997</v>
      </c>
      <c r="AO98" s="45" t="n">
        <f aca="false">INDEX($D98:$AM98,(AO$4-annee_debut)*12+12)</f>
        <v>-281824.867046418</v>
      </c>
      <c r="AP98" s="45" t="n">
        <f aca="false">INDEX($D98:$AM98,(AP$4-annee_debut)*12+12)</f>
        <v>-576095.864361467</v>
      </c>
      <c r="AQ98" s="45" t="n">
        <f aca="false">INDEX($D98:$AM98,(AQ$4-annee_debut)*12+12)</f>
        <v>-828544.304064997</v>
      </c>
    </row>
    <row r="99" customFormat="false" ht="15" hidden="false" customHeight="false" outlineLevel="0" collapsed="false">
      <c r="A99" s="10" t="s">
        <v>337</v>
      </c>
      <c r="B99" s="13" t="s">
        <v>161</v>
      </c>
      <c r="C99" s="50" t="n">
        <v>0</v>
      </c>
      <c r="D99" s="45" t="n">
        <f aca="false">D96+D97+D98</f>
        <v>717606.89015873</v>
      </c>
      <c r="E99" s="45" t="n">
        <f aca="false">E96+E97+E98</f>
        <v>694866.37831746</v>
      </c>
      <c r="F99" s="45" t="n">
        <f aca="false">F96+F97+F98</f>
        <v>672738.78757363</v>
      </c>
      <c r="G99" s="45" t="n">
        <f aca="false">G96+G97+G98</f>
        <v>646398.143503419</v>
      </c>
      <c r="H99" s="45" t="n">
        <f aca="false">H96+H97+H98</f>
        <v>620726.858509898</v>
      </c>
      <c r="I99" s="45" t="n">
        <f aca="false">I96+I97+I98</f>
        <v>595765.685325543</v>
      </c>
      <c r="J99" s="45" t="n">
        <f aca="false">J96+J97+J98</f>
        <v>571380.777653872</v>
      </c>
      <c r="K99" s="45" t="n">
        <f aca="false">K96+K97+K98</f>
        <v>546799.3032693</v>
      </c>
      <c r="L99" s="45" t="n">
        <f aca="false">L96+L97+L98</f>
        <v>523735.61858107</v>
      </c>
      <c r="M99" s="45" t="n">
        <f aca="false">M96+M97+M98</f>
        <v>501271.367963874</v>
      </c>
      <c r="N99" s="45" t="n">
        <f aca="false">N96+N97+N98</f>
        <v>479338.556246266</v>
      </c>
      <c r="O99" s="45" t="n">
        <f aca="false">O96+O97+O98</f>
        <v>458175.132953582</v>
      </c>
      <c r="P99" s="45" t="n">
        <f aca="false">P96+P97+P98</f>
        <v>430344.715227491</v>
      </c>
      <c r="Q99" s="45" t="n">
        <f aca="false">Q96+Q97+Q98</f>
        <v>403650.030528262</v>
      </c>
      <c r="R99" s="45" t="n">
        <f aca="false">R96+R97+R98</f>
        <v>378403.6562242</v>
      </c>
      <c r="S99" s="45" t="n">
        <f aca="false">S96+S97+S98</f>
        <v>354147.011765419</v>
      </c>
      <c r="T99" s="45" t="n">
        <f aca="false">T96+T97+T98</f>
        <v>331083.142903741</v>
      </c>
      <c r="U99" s="45" t="n">
        <f aca="false">U96+U97+U98</f>
        <v>305408.251105759</v>
      </c>
      <c r="V99" s="45" t="n">
        <f aca="false">V96+V97+V98</f>
        <v>280318.574490399</v>
      </c>
      <c r="W99" s="45" t="n">
        <f aca="false">W96+W97+W98</f>
        <v>257207.053809449</v>
      </c>
      <c r="X99" s="45" t="n">
        <f aca="false">X96+X97+X98</f>
        <v>234355.678725853</v>
      </c>
      <c r="Y99" s="45" t="n">
        <f aca="false">Y96+Y97+Y98</f>
        <v>211955.6777553</v>
      </c>
      <c r="Z99" s="45" t="n">
        <f aca="false">Z96+Z97+Z98</f>
        <v>187267.387154072</v>
      </c>
      <c r="AA99" s="45" t="n">
        <f aca="false">AA96+AA97+AA98</f>
        <v>163904.135638533</v>
      </c>
      <c r="AB99" s="45" t="n">
        <f aca="false">AB96+AB97+AB98</f>
        <v>137692.60245748</v>
      </c>
      <c r="AC99" s="45" t="n">
        <f aca="false">AC96+AC97+AC98</f>
        <v>112875.121551397</v>
      </c>
      <c r="AD99" s="45" t="n">
        <f aca="false">AD96+AD97+AD98</f>
        <v>90121.2092190445</v>
      </c>
      <c r="AE99" s="45" t="n">
        <f aca="false">AE96+AE97+AE98</f>
        <v>68626.7240597463</v>
      </c>
      <c r="AF99" s="45" t="n">
        <f aca="false">AF96+AF97+AF98</f>
        <v>48788.8856488725</v>
      </c>
      <c r="AG99" s="45" t="n">
        <f aca="false">AG96+AG97+AG98</f>
        <v>26702.3681458344</v>
      </c>
      <c r="AH99" s="45" t="n">
        <f aca="false">AH96+AH97+AH98</f>
        <v>5035.72632865701</v>
      </c>
      <c r="AI99" s="45" t="n">
        <f aca="false">AI96+AI97+AI98</f>
        <v>-16885.3608084609</v>
      </c>
      <c r="AJ99" s="45" t="n">
        <f aca="false">AJ96+AJ97+AJ98</f>
        <v>-35804.4879217986</v>
      </c>
      <c r="AK99" s="45" t="n">
        <f aca="false">AK96+AK97+AK98</f>
        <v>-54326.2055983618</v>
      </c>
      <c r="AL99" s="45" t="n">
        <f aca="false">AL96+AL97+AL98</f>
        <v>-72327.1062162084</v>
      </c>
      <c r="AM99" s="45" t="n">
        <f aca="false">AM96+AM97+AM98</f>
        <v>-88544.3040649974</v>
      </c>
      <c r="AO99" s="45" t="n">
        <f aca="false">INDEX($D99:$AM99,(AO$4-annee_debut)*12+12)</f>
        <v>458175.132953582</v>
      </c>
      <c r="AP99" s="45" t="n">
        <f aca="false">INDEX($D99:$AM99,(AP$4-annee_debut)*12+12)</f>
        <v>163904.135638533</v>
      </c>
      <c r="AQ99" s="45" t="n">
        <f aca="false">INDEX($D99:$AM99,(AQ$4-annee_debut)*12+12)</f>
        <v>-88544.3040649974</v>
      </c>
    </row>
    <row r="100" customFormat="false" ht="15" hidden="false" customHeight="false" outlineLevel="0" collapsed="false">
      <c r="A100" s="10" t="s">
        <v>338</v>
      </c>
      <c r="B100" s="13" t="s">
        <v>161</v>
      </c>
      <c r="C100" s="50" t="n">
        <v>0</v>
      </c>
      <c r="D100" s="45" t="n">
        <f aca="false">C100+IF(D$6=mois_apport,comptes_courants,0)</f>
        <v>60000</v>
      </c>
      <c r="E100" s="45" t="n">
        <f aca="false">D100+IF(E$6=mois_apport,comptes_courants,0)</f>
        <v>60000</v>
      </c>
      <c r="F100" s="45" t="n">
        <f aca="false">E100+IF(F$6=mois_apport,comptes_courants,0)</f>
        <v>60000</v>
      </c>
      <c r="G100" s="45" t="n">
        <f aca="false">F100+IF(G$6=mois_apport,comptes_courants,0)</f>
        <v>60000</v>
      </c>
      <c r="H100" s="45" t="n">
        <f aca="false">G100+IF(H$6=mois_apport,comptes_courants,0)</f>
        <v>60000</v>
      </c>
      <c r="I100" s="45" t="n">
        <f aca="false">H100+IF(I$6=mois_apport,comptes_courants,0)</f>
        <v>60000</v>
      </c>
      <c r="J100" s="45" t="n">
        <f aca="false">I100+IF(J$6=mois_apport,comptes_courants,0)</f>
        <v>60000</v>
      </c>
      <c r="K100" s="45" t="n">
        <f aca="false">J100+IF(K$6=mois_apport,comptes_courants,0)</f>
        <v>60000</v>
      </c>
      <c r="L100" s="45" t="n">
        <f aca="false">K100+IF(L$6=mois_apport,comptes_courants,0)</f>
        <v>60000</v>
      </c>
      <c r="M100" s="45" t="n">
        <f aca="false">L100+IF(M$6=mois_apport,comptes_courants,0)</f>
        <v>60000</v>
      </c>
      <c r="N100" s="45" t="n">
        <f aca="false">M100+IF(N$6=mois_apport,comptes_courants,0)</f>
        <v>60000</v>
      </c>
      <c r="O100" s="45" t="n">
        <f aca="false">N100+IF(O$6=mois_apport,comptes_courants,0)</f>
        <v>60000</v>
      </c>
      <c r="P100" s="45" t="n">
        <f aca="false">O100+IF(P$6=mois_apport,comptes_courants,0)</f>
        <v>60000</v>
      </c>
      <c r="Q100" s="45" t="n">
        <f aca="false">P100+IF(Q$6=mois_apport,comptes_courants,0)</f>
        <v>60000</v>
      </c>
      <c r="R100" s="45" t="n">
        <f aca="false">Q100+IF(R$6=mois_apport,comptes_courants,0)</f>
        <v>60000</v>
      </c>
      <c r="S100" s="45" t="n">
        <f aca="false">R100+IF(S$6=mois_apport,comptes_courants,0)</f>
        <v>60000</v>
      </c>
      <c r="T100" s="45" t="n">
        <f aca="false">S100+IF(T$6=mois_apport,comptes_courants,0)</f>
        <v>60000</v>
      </c>
      <c r="U100" s="45" t="n">
        <f aca="false">T100+IF(U$6=mois_apport,comptes_courants,0)</f>
        <v>60000</v>
      </c>
      <c r="V100" s="45" t="n">
        <f aca="false">U100+IF(V$6=mois_apport,comptes_courants,0)</f>
        <v>60000</v>
      </c>
      <c r="W100" s="45" t="n">
        <f aca="false">V100+IF(W$6=mois_apport,comptes_courants,0)</f>
        <v>60000</v>
      </c>
      <c r="X100" s="45" t="n">
        <f aca="false">W100+IF(X$6=mois_apport,comptes_courants,0)</f>
        <v>60000</v>
      </c>
      <c r="Y100" s="45" t="n">
        <f aca="false">X100+IF(Y$6=mois_apport,comptes_courants,0)</f>
        <v>60000</v>
      </c>
      <c r="Z100" s="45" t="n">
        <f aca="false">Y100+IF(Z$6=mois_apport,comptes_courants,0)</f>
        <v>60000</v>
      </c>
      <c r="AA100" s="45" t="n">
        <f aca="false">Z100+IF(AA$6=mois_apport,comptes_courants,0)</f>
        <v>60000</v>
      </c>
      <c r="AB100" s="45" t="n">
        <f aca="false">AA100+IF(AB$6=mois_apport,comptes_courants,0)</f>
        <v>60000</v>
      </c>
      <c r="AC100" s="45" t="n">
        <f aca="false">AB100+IF(AC$6=mois_apport,comptes_courants,0)</f>
        <v>60000</v>
      </c>
      <c r="AD100" s="45" t="n">
        <f aca="false">AC100+IF(AD$6=mois_apport,comptes_courants,0)</f>
        <v>60000</v>
      </c>
      <c r="AE100" s="45" t="n">
        <f aca="false">AD100+IF(AE$6=mois_apport,comptes_courants,0)</f>
        <v>60000</v>
      </c>
      <c r="AF100" s="45" t="n">
        <f aca="false">AE100+IF(AF$6=mois_apport,comptes_courants,0)</f>
        <v>60000</v>
      </c>
      <c r="AG100" s="45" t="n">
        <f aca="false">AF100+IF(AG$6=mois_apport,comptes_courants,0)</f>
        <v>60000</v>
      </c>
      <c r="AH100" s="45" t="n">
        <f aca="false">AG100+IF(AH$6=mois_apport,comptes_courants,0)</f>
        <v>60000</v>
      </c>
      <c r="AI100" s="45" t="n">
        <f aca="false">AH100+IF(AI$6=mois_apport,comptes_courants,0)</f>
        <v>60000</v>
      </c>
      <c r="AJ100" s="45" t="n">
        <f aca="false">AI100+IF(AJ$6=mois_apport,comptes_courants,0)</f>
        <v>60000</v>
      </c>
      <c r="AK100" s="45" t="n">
        <f aca="false">AJ100+IF(AK$6=mois_apport,comptes_courants,0)</f>
        <v>60000</v>
      </c>
      <c r="AL100" s="45" t="n">
        <f aca="false">AK100+IF(AL$6=mois_apport,comptes_courants,0)</f>
        <v>60000</v>
      </c>
      <c r="AM100" s="45" t="n">
        <f aca="false">AL100+IF(AM$6=mois_apport,comptes_courants,0)</f>
        <v>60000</v>
      </c>
      <c r="AO100" s="45" t="n">
        <f aca="false">INDEX($D100:$AM100,(AO$4-annee_debut)*12+12)</f>
        <v>60000</v>
      </c>
      <c r="AP100" s="45" t="n">
        <f aca="false">INDEX($D100:$AM100,(AP$4-annee_debut)*12+12)</f>
        <v>60000</v>
      </c>
      <c r="AQ100" s="45" t="n">
        <f aca="false">INDEX($D100:$AM100,(AQ$4-annee_debut)*12+12)</f>
        <v>60000</v>
      </c>
    </row>
    <row r="101" customFormat="false" ht="15" hidden="false" customHeight="false" outlineLevel="0" collapsed="false">
      <c r="A101" s="10" t="s">
        <v>439</v>
      </c>
      <c r="B101" s="13" t="s">
        <v>161</v>
      </c>
      <c r="C101" s="61" t="n">
        <v>0</v>
      </c>
      <c r="D101" s="26" t="n">
        <f aca="false">ROUND(D94+D77+D88-(D99+D100+D70+D78),2)</f>
        <v>0</v>
      </c>
      <c r="E101" s="26" t="n">
        <f aca="false">ROUND(E94+E77+E88-(E99+E100+E70+E78),2)</f>
        <v>0</v>
      </c>
      <c r="F101" s="26" t="n">
        <f aca="false">ROUND(F94+F77+F88-(F99+F100+F70+F78),2)</f>
        <v>0</v>
      </c>
      <c r="G101" s="26" t="n">
        <f aca="false">ROUND(G94+G77+G88-(G99+G100+G70+G78),2)</f>
        <v>0</v>
      </c>
      <c r="H101" s="26" t="n">
        <f aca="false">ROUND(H94+H77+H88-(H99+H100+H70+H78),2)</f>
        <v>0</v>
      </c>
      <c r="I101" s="26" t="n">
        <f aca="false">ROUND(I94+I77+I88-(I99+I100+I70+I78),2)</f>
        <v>0</v>
      </c>
      <c r="J101" s="26" t="n">
        <f aca="false">ROUND(J94+J77+J88-(J99+J100+J70+J78),2)</f>
        <v>0</v>
      </c>
      <c r="K101" s="26" t="n">
        <f aca="false">ROUND(K94+K77+K88-(K99+K100+K70+K78),2)</f>
        <v>0</v>
      </c>
      <c r="L101" s="26" t="n">
        <f aca="false">ROUND(L94+L77+L88-(L99+L100+L70+L78),2)</f>
        <v>0</v>
      </c>
      <c r="M101" s="26" t="n">
        <f aca="false">ROUND(M94+M77+M88-(M99+M100+M70+M78),2)</f>
        <v>0</v>
      </c>
      <c r="N101" s="26" t="n">
        <f aca="false">ROUND(N94+N77+N88-(N99+N100+N70+N78),2)</f>
        <v>0</v>
      </c>
      <c r="O101" s="26" t="n">
        <f aca="false">ROUND(O94+O77+O88-(O99+O100+O70+O78),2)</f>
        <v>0</v>
      </c>
      <c r="P101" s="26" t="n">
        <f aca="false">ROUND(P94+P77+P88-(P99+P100+P70+P78),2)</f>
        <v>0</v>
      </c>
      <c r="Q101" s="26" t="n">
        <f aca="false">ROUND(Q94+Q77+Q88-(Q99+Q100+Q70+Q78),2)</f>
        <v>0</v>
      </c>
      <c r="R101" s="26" t="n">
        <f aca="false">ROUND(R94+R77+R88-(R99+R100+R70+R78),2)</f>
        <v>0</v>
      </c>
      <c r="S101" s="26" t="n">
        <f aca="false">ROUND(S94+S77+S88-(S99+S100+S70+S78),2)</f>
        <v>0</v>
      </c>
      <c r="T101" s="26" t="n">
        <f aca="false">ROUND(T94+T77+T88-(T99+T100+T70+T78),2)</f>
        <v>0</v>
      </c>
      <c r="U101" s="26" t="n">
        <f aca="false">ROUND(U94+U77+U88-(U99+U100+U70+U78),2)</f>
        <v>0</v>
      </c>
      <c r="V101" s="26" t="n">
        <f aca="false">ROUND(V94+V77+V88-(V99+V100+V70+V78),2)</f>
        <v>0</v>
      </c>
      <c r="W101" s="26" t="n">
        <f aca="false">ROUND(W94+W77+W88-(W99+W100+W70+W78),2)</f>
        <v>0</v>
      </c>
      <c r="X101" s="26" t="n">
        <f aca="false">ROUND(X94+X77+X88-(X99+X100+X70+X78),2)</f>
        <v>0</v>
      </c>
      <c r="Y101" s="26" t="n">
        <f aca="false">ROUND(Y94+Y77+Y88-(Y99+Y100+Y70+Y78),2)</f>
        <v>0</v>
      </c>
      <c r="Z101" s="26" t="n">
        <f aca="false">ROUND(Z94+Z77+Z88-(Z99+Z100+Z70+Z78),2)</f>
        <v>0</v>
      </c>
      <c r="AA101" s="26" t="n">
        <f aca="false">ROUND(AA94+AA77+AA88-(AA99+AA100+AA70+AA78),2)</f>
        <v>0</v>
      </c>
      <c r="AB101" s="26" t="n">
        <f aca="false">ROUND(AB94+AB77+AB88-(AB99+AB100+AB70+AB78),2)</f>
        <v>0</v>
      </c>
      <c r="AC101" s="26" t="n">
        <f aca="false">ROUND(AC94+AC77+AC88-(AC99+AC100+AC70+AC78),2)</f>
        <v>0</v>
      </c>
      <c r="AD101" s="26" t="n">
        <f aca="false">ROUND(AD94+AD77+AD88-(AD99+AD100+AD70+AD78),2)</f>
        <v>0</v>
      </c>
      <c r="AE101" s="26" t="n">
        <f aca="false">ROUND(AE94+AE77+AE88-(AE99+AE100+AE70+AE78),2)</f>
        <v>0</v>
      </c>
      <c r="AF101" s="26" t="n">
        <f aca="false">ROUND(AF94+AF77+AF88-(AF99+AF100+AF70+AF78),2)</f>
        <v>0</v>
      </c>
      <c r="AG101" s="26" t="n">
        <f aca="false">ROUND(AG94+AG77+AG88-(AG99+AG100+AG70+AG78),2)</f>
        <v>0</v>
      </c>
      <c r="AH101" s="26" t="n">
        <f aca="false">ROUND(AH94+AH77+AH88-(AH99+AH100+AH70+AH78),2)</f>
        <v>0</v>
      </c>
      <c r="AI101" s="26" t="n">
        <f aca="false">ROUND(AI94+AI77+AI88-(AI99+AI100+AI70+AI78),2)</f>
        <v>0</v>
      </c>
      <c r="AJ101" s="26" t="n">
        <f aca="false">ROUND(AJ94+AJ77+AJ88-(AJ99+AJ100+AJ70+AJ78),2)</f>
        <v>0</v>
      </c>
      <c r="AK101" s="26" t="n">
        <f aca="false">ROUND(AK94+AK77+AK88-(AK99+AK100+AK70+AK78),2)</f>
        <v>0</v>
      </c>
      <c r="AL101" s="26" t="n">
        <f aca="false">ROUND(AL94+AL77+AL88-(AL99+AL100+AL70+AL78),2)</f>
        <v>0</v>
      </c>
      <c r="AM101" s="26" t="n">
        <f aca="false">ROUND(AM94+AM77+AM88-(AM99+AM100+AM70+AM78),2)</f>
        <v>0</v>
      </c>
      <c r="AO101" s="26" t="n">
        <f aca="false">INDEX($D101:$AM101,(AO$4-annee_debut)*12+12)</f>
        <v>0</v>
      </c>
      <c r="AP101" s="26" t="n">
        <f aca="false">INDEX($D101:$AM101,(AP$4-annee_debut)*12+12)</f>
        <v>0</v>
      </c>
      <c r="AQ101" s="26" t="n">
        <f aca="false">INDEX($D101:$AM101,(AQ$4-annee_debut)*12+12)</f>
        <v>0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B4BA"/>
    <pageSetUpPr fitToPage="false"/>
  </sheetPr>
  <dimension ref="A1:AR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39" min="4" style="0" width="10.51"/>
    <col collapsed="false" customWidth="true" hidden="false" outlineLevel="0" max="40" min="40" style="0" width="3"/>
    <col collapsed="false" customWidth="true" hidden="false" outlineLevel="0" max="43" min="41" style="0" width="12.5"/>
  </cols>
  <sheetData>
    <row r="1" customFormat="false" ht="17.35" hidden="false" customHeight="false" outlineLevel="0" collapsed="false">
      <c r="A1" s="1" t="s">
        <v>440</v>
      </c>
    </row>
    <row r="2" customFormat="false" ht="15" hidden="false" customHeight="false" outlineLevel="0" collapsed="false">
      <c r="A2" s="2" t="s">
        <v>379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customFormat="false" ht="15" hidden="false" customHeight="false" outlineLevel="0" collapsed="false">
      <c r="A4" s="13" t="s">
        <v>380</v>
      </c>
      <c r="D4" s="49" t="n">
        <f aca="false">annee_debut+INT((D$6-1)/12)</f>
        <v>2027</v>
      </c>
      <c r="E4" s="49" t="n">
        <f aca="false">annee_debut+INT((E$6-1)/12)</f>
        <v>2027</v>
      </c>
      <c r="F4" s="49" t="n">
        <f aca="false">annee_debut+INT((F$6-1)/12)</f>
        <v>2027</v>
      </c>
      <c r="G4" s="49" t="n">
        <f aca="false">annee_debut+INT((G$6-1)/12)</f>
        <v>2027</v>
      </c>
      <c r="H4" s="49" t="n">
        <f aca="false">annee_debut+INT((H$6-1)/12)</f>
        <v>2027</v>
      </c>
      <c r="I4" s="49" t="n">
        <f aca="false">annee_debut+INT((I$6-1)/12)</f>
        <v>2027</v>
      </c>
      <c r="J4" s="49" t="n">
        <f aca="false">annee_debut+INT((J$6-1)/12)</f>
        <v>2027</v>
      </c>
      <c r="K4" s="49" t="n">
        <f aca="false">annee_debut+INT((K$6-1)/12)</f>
        <v>2027</v>
      </c>
      <c r="L4" s="49" t="n">
        <f aca="false">annee_debut+INT((L$6-1)/12)</f>
        <v>2027</v>
      </c>
      <c r="M4" s="49" t="n">
        <f aca="false">annee_debut+INT((M$6-1)/12)</f>
        <v>2027</v>
      </c>
      <c r="N4" s="49" t="n">
        <f aca="false">annee_debut+INT((N$6-1)/12)</f>
        <v>2027</v>
      </c>
      <c r="O4" s="49" t="n">
        <f aca="false">annee_debut+INT((O$6-1)/12)</f>
        <v>2027</v>
      </c>
      <c r="P4" s="49" t="n">
        <f aca="false">annee_debut+INT((P$6-1)/12)</f>
        <v>2028</v>
      </c>
      <c r="Q4" s="49" t="n">
        <f aca="false">annee_debut+INT((Q$6-1)/12)</f>
        <v>2028</v>
      </c>
      <c r="R4" s="49" t="n">
        <f aca="false">annee_debut+INT((R$6-1)/12)</f>
        <v>2028</v>
      </c>
      <c r="S4" s="49" t="n">
        <f aca="false">annee_debut+INT((S$6-1)/12)</f>
        <v>2028</v>
      </c>
      <c r="T4" s="49" t="n">
        <f aca="false">annee_debut+INT((T$6-1)/12)</f>
        <v>2028</v>
      </c>
      <c r="U4" s="49" t="n">
        <f aca="false">annee_debut+INT((U$6-1)/12)</f>
        <v>2028</v>
      </c>
      <c r="V4" s="49" t="n">
        <f aca="false">annee_debut+INT((V$6-1)/12)</f>
        <v>2028</v>
      </c>
      <c r="W4" s="49" t="n">
        <f aca="false">annee_debut+INT((W$6-1)/12)</f>
        <v>2028</v>
      </c>
      <c r="X4" s="49" t="n">
        <f aca="false">annee_debut+INT((X$6-1)/12)</f>
        <v>2028</v>
      </c>
      <c r="Y4" s="49" t="n">
        <f aca="false">annee_debut+INT((Y$6-1)/12)</f>
        <v>2028</v>
      </c>
      <c r="Z4" s="49" t="n">
        <f aca="false">annee_debut+INT((Z$6-1)/12)</f>
        <v>2028</v>
      </c>
      <c r="AA4" s="49" t="n">
        <f aca="false">annee_debut+INT((AA$6-1)/12)</f>
        <v>2028</v>
      </c>
      <c r="AB4" s="49" t="n">
        <f aca="false">annee_debut+INT((AB$6-1)/12)</f>
        <v>2029</v>
      </c>
      <c r="AC4" s="49" t="n">
        <f aca="false">annee_debut+INT((AC$6-1)/12)</f>
        <v>2029</v>
      </c>
      <c r="AD4" s="49" t="n">
        <f aca="false">annee_debut+INT((AD$6-1)/12)</f>
        <v>2029</v>
      </c>
      <c r="AE4" s="49" t="n">
        <f aca="false">annee_debut+INT((AE$6-1)/12)</f>
        <v>2029</v>
      </c>
      <c r="AF4" s="49" t="n">
        <f aca="false">annee_debut+INT((AF$6-1)/12)</f>
        <v>2029</v>
      </c>
      <c r="AG4" s="49" t="n">
        <f aca="false">annee_debut+INT((AG$6-1)/12)</f>
        <v>2029</v>
      </c>
      <c r="AH4" s="49" t="n">
        <f aca="false">annee_debut+INT((AH$6-1)/12)</f>
        <v>2029</v>
      </c>
      <c r="AI4" s="49" t="n">
        <f aca="false">annee_debut+INT((AI$6-1)/12)</f>
        <v>2029</v>
      </c>
      <c r="AJ4" s="49" t="n">
        <f aca="false">annee_debut+INT((AJ$6-1)/12)</f>
        <v>2029</v>
      </c>
      <c r="AK4" s="49" t="n">
        <f aca="false">annee_debut+INT((AK$6-1)/12)</f>
        <v>2029</v>
      </c>
      <c r="AL4" s="49" t="n">
        <f aca="false">annee_debut+INT((AL$6-1)/12)</f>
        <v>2029</v>
      </c>
      <c r="AM4" s="49" t="n">
        <f aca="false">annee_debut+INT((AM$6-1)/12)</f>
        <v>2029</v>
      </c>
      <c r="AO4" s="49" t="n">
        <f aca="false">annee_debut+0</f>
        <v>2027</v>
      </c>
      <c r="AP4" s="49" t="n">
        <f aca="false">annee_debut+1</f>
        <v>2028</v>
      </c>
      <c r="AQ4" s="49" t="n">
        <f aca="false">annee_debut+2</f>
        <v>2029</v>
      </c>
    </row>
    <row r="5" customFormat="false" ht="15" hidden="false" customHeight="false" outlineLevel="0" collapsed="false">
      <c r="A5" s="13" t="s">
        <v>381</v>
      </c>
      <c r="D5" s="13" t="n">
        <f aca="false">MOD(D$6-1,12)+1</f>
        <v>1</v>
      </c>
      <c r="E5" s="13" t="n">
        <f aca="false">MOD(E$6-1,12)+1</f>
        <v>2</v>
      </c>
      <c r="F5" s="13" t="n">
        <f aca="false">MOD(F$6-1,12)+1</f>
        <v>3</v>
      </c>
      <c r="G5" s="13" t="n">
        <f aca="false">MOD(G$6-1,12)+1</f>
        <v>4</v>
      </c>
      <c r="H5" s="13" t="n">
        <f aca="false">MOD(H$6-1,12)+1</f>
        <v>5</v>
      </c>
      <c r="I5" s="13" t="n">
        <f aca="false">MOD(I$6-1,12)+1</f>
        <v>6</v>
      </c>
      <c r="J5" s="13" t="n">
        <f aca="false">MOD(J$6-1,12)+1</f>
        <v>7</v>
      </c>
      <c r="K5" s="13" t="n">
        <f aca="false">MOD(K$6-1,12)+1</f>
        <v>8</v>
      </c>
      <c r="L5" s="13" t="n">
        <f aca="false">MOD(L$6-1,12)+1</f>
        <v>9</v>
      </c>
      <c r="M5" s="13" t="n">
        <f aca="false">MOD(M$6-1,12)+1</f>
        <v>10</v>
      </c>
      <c r="N5" s="13" t="n">
        <f aca="false">MOD(N$6-1,12)+1</f>
        <v>11</v>
      </c>
      <c r="O5" s="13" t="n">
        <f aca="false">MOD(O$6-1,12)+1</f>
        <v>12</v>
      </c>
      <c r="P5" s="13" t="n">
        <f aca="false">MOD(P$6-1,12)+1</f>
        <v>1</v>
      </c>
      <c r="Q5" s="13" t="n">
        <f aca="false">MOD(Q$6-1,12)+1</f>
        <v>2</v>
      </c>
      <c r="R5" s="13" t="n">
        <f aca="false">MOD(R$6-1,12)+1</f>
        <v>3</v>
      </c>
      <c r="S5" s="13" t="n">
        <f aca="false">MOD(S$6-1,12)+1</f>
        <v>4</v>
      </c>
      <c r="T5" s="13" t="n">
        <f aca="false">MOD(T$6-1,12)+1</f>
        <v>5</v>
      </c>
      <c r="U5" s="13" t="n">
        <f aca="false">MOD(U$6-1,12)+1</f>
        <v>6</v>
      </c>
      <c r="V5" s="13" t="n">
        <f aca="false">MOD(V$6-1,12)+1</f>
        <v>7</v>
      </c>
      <c r="W5" s="13" t="n">
        <f aca="false">MOD(W$6-1,12)+1</f>
        <v>8</v>
      </c>
      <c r="X5" s="13" t="n">
        <f aca="false">MOD(X$6-1,12)+1</f>
        <v>9</v>
      </c>
      <c r="Y5" s="13" t="n">
        <f aca="false">MOD(Y$6-1,12)+1</f>
        <v>10</v>
      </c>
      <c r="Z5" s="13" t="n">
        <f aca="false">MOD(Z$6-1,12)+1</f>
        <v>11</v>
      </c>
      <c r="AA5" s="13" t="n">
        <f aca="false">MOD(AA$6-1,12)+1</f>
        <v>12</v>
      </c>
      <c r="AB5" s="13" t="n">
        <f aca="false">MOD(AB$6-1,12)+1</f>
        <v>1</v>
      </c>
      <c r="AC5" s="13" t="n">
        <f aca="false">MOD(AC$6-1,12)+1</f>
        <v>2</v>
      </c>
      <c r="AD5" s="13" t="n">
        <f aca="false">MOD(AD$6-1,12)+1</f>
        <v>3</v>
      </c>
      <c r="AE5" s="13" t="n">
        <f aca="false">MOD(AE$6-1,12)+1</f>
        <v>4</v>
      </c>
      <c r="AF5" s="13" t="n">
        <f aca="false">MOD(AF$6-1,12)+1</f>
        <v>5</v>
      </c>
      <c r="AG5" s="13" t="n">
        <f aca="false">MOD(AG$6-1,12)+1</f>
        <v>6</v>
      </c>
      <c r="AH5" s="13" t="n">
        <f aca="false">MOD(AH$6-1,12)+1</f>
        <v>7</v>
      </c>
      <c r="AI5" s="13" t="n">
        <f aca="false">MOD(AI$6-1,12)+1</f>
        <v>8</v>
      </c>
      <c r="AJ5" s="13" t="n">
        <f aca="false">MOD(AJ$6-1,12)+1</f>
        <v>9</v>
      </c>
      <c r="AK5" s="13" t="n">
        <f aca="false">MOD(AK$6-1,12)+1</f>
        <v>10</v>
      </c>
      <c r="AL5" s="13" t="n">
        <f aca="false">MOD(AL$6-1,12)+1</f>
        <v>11</v>
      </c>
      <c r="AM5" s="13" t="n">
        <f aca="false">MOD(AM$6-1,12)+1</f>
        <v>12</v>
      </c>
    </row>
    <row r="6" customFormat="false" ht="15" hidden="false" customHeight="false" outlineLevel="0" collapsed="false">
      <c r="A6" s="13" t="s">
        <v>382</v>
      </c>
      <c r="D6" s="13" t="n">
        <v>1</v>
      </c>
      <c r="E6" s="13" t="n">
        <v>2</v>
      </c>
      <c r="F6" s="13" t="n">
        <v>3</v>
      </c>
      <c r="G6" s="13" t="n">
        <v>4</v>
      </c>
      <c r="H6" s="13" t="n">
        <v>5</v>
      </c>
      <c r="I6" s="13" t="n">
        <v>6</v>
      </c>
      <c r="J6" s="13" t="n">
        <v>7</v>
      </c>
      <c r="K6" s="13" t="n">
        <v>8</v>
      </c>
      <c r="L6" s="13" t="n">
        <v>9</v>
      </c>
      <c r="M6" s="13" t="n">
        <v>10</v>
      </c>
      <c r="N6" s="13" t="n">
        <v>11</v>
      </c>
      <c r="O6" s="13" t="n">
        <v>12</v>
      </c>
      <c r="P6" s="13" t="n">
        <v>13</v>
      </c>
      <c r="Q6" s="13" t="n">
        <v>14</v>
      </c>
      <c r="R6" s="13" t="n">
        <v>15</v>
      </c>
      <c r="S6" s="13" t="n">
        <v>16</v>
      </c>
      <c r="T6" s="13" t="n">
        <v>17</v>
      </c>
      <c r="U6" s="13" t="n">
        <v>18</v>
      </c>
      <c r="V6" s="13" t="n">
        <v>19</v>
      </c>
      <c r="W6" s="13" t="n">
        <v>20</v>
      </c>
      <c r="X6" s="13" t="n">
        <v>21</v>
      </c>
      <c r="Y6" s="13" t="n">
        <v>22</v>
      </c>
      <c r="Z6" s="13" t="n">
        <v>23</v>
      </c>
      <c r="AA6" s="13" t="n">
        <v>24</v>
      </c>
      <c r="AB6" s="13" t="n">
        <v>25</v>
      </c>
      <c r="AC6" s="13" t="n">
        <v>26</v>
      </c>
      <c r="AD6" s="13" t="n">
        <v>27</v>
      </c>
      <c r="AE6" s="13" t="n">
        <v>28</v>
      </c>
      <c r="AF6" s="13" t="n">
        <v>29</v>
      </c>
      <c r="AG6" s="13" t="n">
        <v>30</v>
      </c>
      <c r="AH6" s="13" t="n">
        <v>31</v>
      </c>
      <c r="AI6" s="13" t="n">
        <v>32</v>
      </c>
      <c r="AJ6" s="13" t="n">
        <v>33</v>
      </c>
      <c r="AK6" s="13" t="n">
        <v>34</v>
      </c>
      <c r="AL6" s="13" t="n">
        <v>35</v>
      </c>
      <c r="AM6" s="13" t="n">
        <v>36</v>
      </c>
    </row>
    <row r="7" customFormat="false" ht="15" hidden="false" customHeight="false" outlineLevel="0" collapsed="false">
      <c r="A7" s="14" t="s">
        <v>383</v>
      </c>
      <c r="B7" s="14" t="s">
        <v>52</v>
      </c>
      <c r="C7" s="43" t="s">
        <v>384</v>
      </c>
      <c r="D7" s="43" t="str">
        <f aca="false">CHOOSE(D$5,"janv.","févr.","mars","avr.","mai","juin","juil.","août","sept.","oct.","nov.","déc.")&amp;" "&amp;D$4</f>
        <v>janv. 2027</v>
      </c>
      <c r="E7" s="43" t="str">
        <f aca="false">CHOOSE(E$5,"janv.","févr.","mars","avr.","mai","juin","juil.","août","sept.","oct.","nov.","déc.")&amp;" "&amp;E$4</f>
        <v>févr. 2027</v>
      </c>
      <c r="F7" s="43" t="str">
        <f aca="false">CHOOSE(F$5,"janv.","févr.","mars","avr.","mai","juin","juil.","août","sept.","oct.","nov.","déc.")&amp;" "&amp;F$4</f>
        <v>mars 2027</v>
      </c>
      <c r="G7" s="43" t="str">
        <f aca="false">CHOOSE(G$5,"janv.","févr.","mars","avr.","mai","juin","juil.","août","sept.","oct.","nov.","déc.")&amp;" "&amp;G$4</f>
        <v>avr. 2027</v>
      </c>
      <c r="H7" s="43" t="str">
        <f aca="false">CHOOSE(H$5,"janv.","févr.","mars","avr.","mai","juin","juil.","août","sept.","oct.","nov.","déc.")&amp;" "&amp;H$4</f>
        <v>mai 2027</v>
      </c>
      <c r="I7" s="43" t="str">
        <f aca="false">CHOOSE(I$5,"janv.","févr.","mars","avr.","mai","juin","juil.","août","sept.","oct.","nov.","déc.")&amp;" "&amp;I$4</f>
        <v>juin 2027</v>
      </c>
      <c r="J7" s="43" t="str">
        <f aca="false">CHOOSE(J$5,"janv.","févr.","mars","avr.","mai","juin","juil.","août","sept.","oct.","nov.","déc.")&amp;" "&amp;J$4</f>
        <v>juil. 2027</v>
      </c>
      <c r="K7" s="43" t="str">
        <f aca="false">CHOOSE(K$5,"janv.","févr.","mars","avr.","mai","juin","juil.","août","sept.","oct.","nov.","déc.")&amp;" "&amp;K$4</f>
        <v>août 2027</v>
      </c>
      <c r="L7" s="43" t="str">
        <f aca="false">CHOOSE(L$5,"janv.","févr.","mars","avr.","mai","juin","juil.","août","sept.","oct.","nov.","déc.")&amp;" "&amp;L$4</f>
        <v>sept. 2027</v>
      </c>
      <c r="M7" s="43" t="str">
        <f aca="false">CHOOSE(M$5,"janv.","févr.","mars","avr.","mai","juin","juil.","août","sept.","oct.","nov.","déc.")&amp;" "&amp;M$4</f>
        <v>oct. 2027</v>
      </c>
      <c r="N7" s="43" t="str">
        <f aca="false">CHOOSE(N$5,"janv.","févr.","mars","avr.","mai","juin","juil.","août","sept.","oct.","nov.","déc.")&amp;" "&amp;N$4</f>
        <v>nov. 2027</v>
      </c>
      <c r="O7" s="43" t="str">
        <f aca="false">CHOOSE(O$5,"janv.","févr.","mars","avr.","mai","juin","juil.","août","sept.","oct.","nov.","déc.")&amp;" "&amp;O$4</f>
        <v>déc. 2027</v>
      </c>
      <c r="P7" s="43" t="str">
        <f aca="false">CHOOSE(P$5,"janv.","févr.","mars","avr.","mai","juin","juil.","août","sept.","oct.","nov.","déc.")&amp;" "&amp;P$4</f>
        <v>janv. 2028</v>
      </c>
      <c r="Q7" s="43" t="str">
        <f aca="false">CHOOSE(Q$5,"janv.","févr.","mars","avr.","mai","juin","juil.","août","sept.","oct.","nov.","déc.")&amp;" "&amp;Q$4</f>
        <v>févr. 2028</v>
      </c>
      <c r="R7" s="43" t="str">
        <f aca="false">CHOOSE(R$5,"janv.","févr.","mars","avr.","mai","juin","juil.","août","sept.","oct.","nov.","déc.")&amp;" "&amp;R$4</f>
        <v>mars 2028</v>
      </c>
      <c r="S7" s="43" t="str">
        <f aca="false">CHOOSE(S$5,"janv.","févr.","mars","avr.","mai","juin","juil.","août","sept.","oct.","nov.","déc.")&amp;" "&amp;S$4</f>
        <v>avr. 2028</v>
      </c>
      <c r="T7" s="43" t="str">
        <f aca="false">CHOOSE(T$5,"janv.","févr.","mars","avr.","mai","juin","juil.","août","sept.","oct.","nov.","déc.")&amp;" "&amp;T$4</f>
        <v>mai 2028</v>
      </c>
      <c r="U7" s="43" t="str">
        <f aca="false">CHOOSE(U$5,"janv.","févr.","mars","avr.","mai","juin","juil.","août","sept.","oct.","nov.","déc.")&amp;" "&amp;U$4</f>
        <v>juin 2028</v>
      </c>
      <c r="V7" s="43" t="str">
        <f aca="false">CHOOSE(V$5,"janv.","févr.","mars","avr.","mai","juin","juil.","août","sept.","oct.","nov.","déc.")&amp;" "&amp;V$4</f>
        <v>juil. 2028</v>
      </c>
      <c r="W7" s="43" t="str">
        <f aca="false">CHOOSE(W$5,"janv.","févr.","mars","avr.","mai","juin","juil.","août","sept.","oct.","nov.","déc.")&amp;" "&amp;W$4</f>
        <v>août 2028</v>
      </c>
      <c r="X7" s="43" t="str">
        <f aca="false">CHOOSE(X$5,"janv.","févr.","mars","avr.","mai","juin","juil.","août","sept.","oct.","nov.","déc.")&amp;" "&amp;X$4</f>
        <v>sept. 2028</v>
      </c>
      <c r="Y7" s="43" t="str">
        <f aca="false">CHOOSE(Y$5,"janv.","févr.","mars","avr.","mai","juin","juil.","août","sept.","oct.","nov.","déc.")&amp;" "&amp;Y$4</f>
        <v>oct. 2028</v>
      </c>
      <c r="Z7" s="43" t="str">
        <f aca="false">CHOOSE(Z$5,"janv.","févr.","mars","avr.","mai","juin","juil.","août","sept.","oct.","nov.","déc.")&amp;" "&amp;Z$4</f>
        <v>nov. 2028</v>
      </c>
      <c r="AA7" s="43" t="str">
        <f aca="false">CHOOSE(AA$5,"janv.","févr.","mars","avr.","mai","juin","juil.","août","sept.","oct.","nov.","déc.")&amp;" "&amp;AA$4</f>
        <v>déc. 2028</v>
      </c>
      <c r="AB7" s="43" t="str">
        <f aca="false">CHOOSE(AB$5,"janv.","févr.","mars","avr.","mai","juin","juil.","août","sept.","oct.","nov.","déc.")&amp;" "&amp;AB$4</f>
        <v>janv. 2029</v>
      </c>
      <c r="AC7" s="43" t="str">
        <f aca="false">CHOOSE(AC$5,"janv.","févr.","mars","avr.","mai","juin","juil.","août","sept.","oct.","nov.","déc.")&amp;" "&amp;AC$4</f>
        <v>févr. 2029</v>
      </c>
      <c r="AD7" s="43" t="str">
        <f aca="false">CHOOSE(AD$5,"janv.","févr.","mars","avr.","mai","juin","juil.","août","sept.","oct.","nov.","déc.")&amp;" "&amp;AD$4</f>
        <v>mars 2029</v>
      </c>
      <c r="AE7" s="43" t="str">
        <f aca="false">CHOOSE(AE$5,"janv.","févr.","mars","avr.","mai","juin","juil.","août","sept.","oct.","nov.","déc.")&amp;" "&amp;AE$4</f>
        <v>avr. 2029</v>
      </c>
      <c r="AF7" s="43" t="str">
        <f aca="false">CHOOSE(AF$5,"janv.","févr.","mars","avr.","mai","juin","juil.","août","sept.","oct.","nov.","déc.")&amp;" "&amp;AF$4</f>
        <v>mai 2029</v>
      </c>
      <c r="AG7" s="43" t="str">
        <f aca="false">CHOOSE(AG$5,"janv.","févr.","mars","avr.","mai","juin","juil.","août","sept.","oct.","nov.","déc.")&amp;" "&amp;AG$4</f>
        <v>juin 2029</v>
      </c>
      <c r="AH7" s="43" t="str">
        <f aca="false">CHOOSE(AH$5,"janv.","févr.","mars","avr.","mai","juin","juil.","août","sept.","oct.","nov.","déc.")&amp;" "&amp;AH$4</f>
        <v>juil. 2029</v>
      </c>
      <c r="AI7" s="43" t="str">
        <f aca="false">CHOOSE(AI$5,"janv.","févr.","mars","avr.","mai","juin","juil.","août","sept.","oct.","nov.","déc.")&amp;" "&amp;AI$4</f>
        <v>août 2029</v>
      </c>
      <c r="AJ7" s="43" t="str">
        <f aca="false">CHOOSE(AJ$5,"janv.","févr.","mars","avr.","mai","juin","juil.","août","sept.","oct.","nov.","déc.")&amp;" "&amp;AJ$4</f>
        <v>sept. 2029</v>
      </c>
      <c r="AK7" s="43" t="str">
        <f aca="false">CHOOSE(AK$5,"janv.","févr.","mars","avr.","mai","juin","juil.","août","sept.","oct.","nov.","déc.")&amp;" "&amp;AK$4</f>
        <v>oct. 2029</v>
      </c>
      <c r="AL7" s="43" t="str">
        <f aca="false">CHOOSE(AL$5,"janv.","févr.","mars","avr.","mai","juin","juil.","août","sept.","oct.","nov.","déc.")&amp;" "&amp;AL$4</f>
        <v>nov. 2029</v>
      </c>
      <c r="AM7" s="43" t="str">
        <f aca="false">CHOOSE(AM$5,"janv.","févr.","mars","avr.","mai","juin","juil.","août","sept.","oct.","nov.","déc.")&amp;" "&amp;AM$4</f>
        <v>déc. 2029</v>
      </c>
      <c r="AO7" s="31" t="n">
        <f aca="false">AO$4</f>
        <v>2027</v>
      </c>
      <c r="AP7" s="31" t="n">
        <f aca="false">AP$4</f>
        <v>2028</v>
      </c>
      <c r="AQ7" s="31" t="n">
        <f aca="false">AQ$4</f>
        <v>2029</v>
      </c>
    </row>
    <row r="8" customFormat="false" ht="15" hidden="false" customHeight="false" outlineLevel="0" collapsed="false">
      <c r="A8" s="5" t="s">
        <v>385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</row>
    <row r="9" customFormat="false" ht="15" hidden="false" customHeight="false" outlineLevel="0" collapsed="false">
      <c r="A9" s="10" t="s">
        <v>386</v>
      </c>
      <c r="B9" s="13" t="s">
        <v>59</v>
      </c>
      <c r="C9" s="50" t="n">
        <v>0</v>
      </c>
      <c r="D9" s="45" t="n">
        <f aca="false">CHOOSE(D$4-annee_debut+1,nouveaux_a1_c,nouveaux_a2_c,nouveaux_a3_c)</f>
        <v>5</v>
      </c>
      <c r="E9" s="45" t="n">
        <f aca="false">CHOOSE(E$4-annee_debut+1,nouveaux_a1_c,nouveaux_a2_c,nouveaux_a3_c)</f>
        <v>5</v>
      </c>
      <c r="F9" s="45" t="n">
        <f aca="false">CHOOSE(F$4-annee_debut+1,nouveaux_a1_c,nouveaux_a2_c,nouveaux_a3_c)</f>
        <v>5</v>
      </c>
      <c r="G9" s="45" t="n">
        <f aca="false">CHOOSE(G$4-annee_debut+1,nouveaux_a1_c,nouveaux_a2_c,nouveaux_a3_c)</f>
        <v>5</v>
      </c>
      <c r="H9" s="45" t="n">
        <f aca="false">CHOOSE(H$4-annee_debut+1,nouveaux_a1_c,nouveaux_a2_c,nouveaux_a3_c)</f>
        <v>5</v>
      </c>
      <c r="I9" s="45" t="n">
        <f aca="false">CHOOSE(I$4-annee_debut+1,nouveaux_a1_c,nouveaux_a2_c,nouveaux_a3_c)</f>
        <v>5</v>
      </c>
      <c r="J9" s="45" t="n">
        <f aca="false">CHOOSE(J$4-annee_debut+1,nouveaux_a1_c,nouveaux_a2_c,nouveaux_a3_c)</f>
        <v>5</v>
      </c>
      <c r="K9" s="45" t="n">
        <f aca="false">CHOOSE(K$4-annee_debut+1,nouveaux_a1_c,nouveaux_a2_c,nouveaux_a3_c)</f>
        <v>5</v>
      </c>
      <c r="L9" s="45" t="n">
        <f aca="false">CHOOSE(L$4-annee_debut+1,nouveaux_a1_c,nouveaux_a2_c,nouveaux_a3_c)</f>
        <v>5</v>
      </c>
      <c r="M9" s="45" t="n">
        <f aca="false">CHOOSE(M$4-annee_debut+1,nouveaux_a1_c,nouveaux_a2_c,nouveaux_a3_c)</f>
        <v>5</v>
      </c>
      <c r="N9" s="45" t="n">
        <f aca="false">CHOOSE(N$4-annee_debut+1,nouveaux_a1_c,nouveaux_a2_c,nouveaux_a3_c)</f>
        <v>5</v>
      </c>
      <c r="O9" s="45" t="n">
        <f aca="false">CHOOSE(O$4-annee_debut+1,nouveaux_a1_c,nouveaux_a2_c,nouveaux_a3_c)</f>
        <v>5</v>
      </c>
      <c r="P9" s="45" t="n">
        <f aca="false">CHOOSE(P$4-annee_debut+1,nouveaux_a1_c,nouveaux_a2_c,nouveaux_a3_c)</f>
        <v>10</v>
      </c>
      <c r="Q9" s="45" t="n">
        <f aca="false">CHOOSE(Q$4-annee_debut+1,nouveaux_a1_c,nouveaux_a2_c,nouveaux_a3_c)</f>
        <v>10</v>
      </c>
      <c r="R9" s="45" t="n">
        <f aca="false">CHOOSE(R$4-annee_debut+1,nouveaux_a1_c,nouveaux_a2_c,nouveaux_a3_c)</f>
        <v>10</v>
      </c>
      <c r="S9" s="45" t="n">
        <f aca="false">CHOOSE(S$4-annee_debut+1,nouveaux_a1_c,nouveaux_a2_c,nouveaux_a3_c)</f>
        <v>10</v>
      </c>
      <c r="T9" s="45" t="n">
        <f aca="false">CHOOSE(T$4-annee_debut+1,nouveaux_a1_c,nouveaux_a2_c,nouveaux_a3_c)</f>
        <v>10</v>
      </c>
      <c r="U9" s="45" t="n">
        <f aca="false">CHOOSE(U$4-annee_debut+1,nouveaux_a1_c,nouveaux_a2_c,nouveaux_a3_c)</f>
        <v>10</v>
      </c>
      <c r="V9" s="45" t="n">
        <f aca="false">CHOOSE(V$4-annee_debut+1,nouveaux_a1_c,nouveaux_a2_c,nouveaux_a3_c)</f>
        <v>10</v>
      </c>
      <c r="W9" s="45" t="n">
        <f aca="false">CHOOSE(W$4-annee_debut+1,nouveaux_a1_c,nouveaux_a2_c,nouveaux_a3_c)</f>
        <v>10</v>
      </c>
      <c r="X9" s="45" t="n">
        <f aca="false">CHOOSE(X$4-annee_debut+1,nouveaux_a1_c,nouveaux_a2_c,nouveaux_a3_c)</f>
        <v>10</v>
      </c>
      <c r="Y9" s="45" t="n">
        <f aca="false">CHOOSE(Y$4-annee_debut+1,nouveaux_a1_c,nouveaux_a2_c,nouveaux_a3_c)</f>
        <v>10</v>
      </c>
      <c r="Z9" s="45" t="n">
        <f aca="false">CHOOSE(Z$4-annee_debut+1,nouveaux_a1_c,nouveaux_a2_c,nouveaux_a3_c)</f>
        <v>10</v>
      </c>
      <c r="AA9" s="45" t="n">
        <f aca="false">CHOOSE(AA$4-annee_debut+1,nouveaux_a1_c,nouveaux_a2_c,nouveaux_a3_c)</f>
        <v>10</v>
      </c>
      <c r="AB9" s="45" t="n">
        <f aca="false">CHOOSE(AB$4-annee_debut+1,nouveaux_a1_c,nouveaux_a2_c,nouveaux_a3_c)</f>
        <v>13</v>
      </c>
      <c r="AC9" s="45" t="n">
        <f aca="false">CHOOSE(AC$4-annee_debut+1,nouveaux_a1_c,nouveaux_a2_c,nouveaux_a3_c)</f>
        <v>13</v>
      </c>
      <c r="AD9" s="45" t="n">
        <f aca="false">CHOOSE(AD$4-annee_debut+1,nouveaux_a1_c,nouveaux_a2_c,nouveaux_a3_c)</f>
        <v>13</v>
      </c>
      <c r="AE9" s="45" t="n">
        <f aca="false">CHOOSE(AE$4-annee_debut+1,nouveaux_a1_c,nouveaux_a2_c,nouveaux_a3_c)</f>
        <v>13</v>
      </c>
      <c r="AF9" s="45" t="n">
        <f aca="false">CHOOSE(AF$4-annee_debut+1,nouveaux_a1_c,nouveaux_a2_c,nouveaux_a3_c)</f>
        <v>13</v>
      </c>
      <c r="AG9" s="45" t="n">
        <f aca="false">CHOOSE(AG$4-annee_debut+1,nouveaux_a1_c,nouveaux_a2_c,nouveaux_a3_c)</f>
        <v>13</v>
      </c>
      <c r="AH9" s="45" t="n">
        <f aca="false">CHOOSE(AH$4-annee_debut+1,nouveaux_a1_c,nouveaux_a2_c,nouveaux_a3_c)</f>
        <v>13</v>
      </c>
      <c r="AI9" s="45" t="n">
        <f aca="false">CHOOSE(AI$4-annee_debut+1,nouveaux_a1_c,nouveaux_a2_c,nouveaux_a3_c)</f>
        <v>13</v>
      </c>
      <c r="AJ9" s="45" t="n">
        <f aca="false">CHOOSE(AJ$4-annee_debut+1,nouveaux_a1_c,nouveaux_a2_c,nouveaux_a3_c)</f>
        <v>13</v>
      </c>
      <c r="AK9" s="45" t="n">
        <f aca="false">CHOOSE(AK$4-annee_debut+1,nouveaux_a1_c,nouveaux_a2_c,nouveaux_a3_c)</f>
        <v>13</v>
      </c>
      <c r="AL9" s="45" t="n">
        <f aca="false">CHOOSE(AL$4-annee_debut+1,nouveaux_a1_c,nouveaux_a2_c,nouveaux_a3_c)</f>
        <v>13</v>
      </c>
      <c r="AM9" s="45" t="n">
        <f aca="false">CHOOSE(AM$4-annee_debut+1,nouveaux_a1_c,nouveaux_a2_c,nouveaux_a3_c)</f>
        <v>13</v>
      </c>
      <c r="AO9" s="45" t="n">
        <f aca="false">SUMIF($D$4:$AM$4,AO$4,$D9:$AM9)</f>
        <v>60</v>
      </c>
      <c r="AP9" s="45" t="n">
        <f aca="false">SUMIF($D$4:$AM$4,AP$4,$D9:$AM9)</f>
        <v>120</v>
      </c>
      <c r="AQ9" s="45" t="n">
        <f aca="false">SUMIF($D$4:$AM$4,AQ$4,$D9:$AM9)</f>
        <v>156</v>
      </c>
    </row>
    <row r="10" customFormat="false" ht="15" hidden="false" customHeight="false" outlineLevel="0" collapsed="false">
      <c r="A10" s="11" t="s">
        <v>387</v>
      </c>
      <c r="B10" s="13" t="s">
        <v>59</v>
      </c>
      <c r="C10" s="51" t="n">
        <v>0</v>
      </c>
      <c r="D10" s="52" t="n">
        <f aca="false">C10*(1-attrition_c)+D9</f>
        <v>5</v>
      </c>
      <c r="E10" s="52" t="n">
        <f aca="false">D10*(1-attrition_c)+E9</f>
        <v>9.94</v>
      </c>
      <c r="F10" s="52" t="n">
        <f aca="false">E10*(1-attrition_c)+F9</f>
        <v>14.82072</v>
      </c>
      <c r="G10" s="52" t="n">
        <f aca="false">F10*(1-attrition_c)+G9</f>
        <v>19.64287136</v>
      </c>
      <c r="H10" s="52" t="n">
        <f aca="false">G10*(1-attrition_c)+H9</f>
        <v>24.40715690368</v>
      </c>
      <c r="I10" s="52" t="n">
        <f aca="false">H10*(1-attrition_c)+I9</f>
        <v>29.1142710208358</v>
      </c>
      <c r="J10" s="52" t="n">
        <f aca="false">I10*(1-attrition_c)+J9</f>
        <v>33.7648997685858</v>
      </c>
      <c r="K10" s="52" t="n">
        <f aca="false">J10*(1-attrition_c)+K9</f>
        <v>38.3597209713628</v>
      </c>
      <c r="L10" s="52" t="n">
        <f aca="false">K10*(1-attrition_c)+L9</f>
        <v>42.8994043197064</v>
      </c>
      <c r="M10" s="52" t="n">
        <f aca="false">L10*(1-attrition_c)+M9</f>
        <v>47.3846114678699</v>
      </c>
      <c r="N10" s="52" t="n">
        <f aca="false">M10*(1-attrition_c)+N9</f>
        <v>51.8159961302555</v>
      </c>
      <c r="O10" s="52" t="n">
        <f aca="false">N10*(1-attrition_c)+O9</f>
        <v>56.1942041766924</v>
      </c>
      <c r="P10" s="52" t="n">
        <f aca="false">O10*(1-attrition_c)+P9</f>
        <v>65.5198737265721</v>
      </c>
      <c r="Q10" s="52" t="n">
        <f aca="false">P10*(1-attrition_c)+Q9</f>
        <v>74.7336352418533</v>
      </c>
      <c r="R10" s="52" t="n">
        <f aca="false">Q10*(1-attrition_c)+R9</f>
        <v>83.836831618951</v>
      </c>
      <c r="S10" s="52" t="n">
        <f aca="false">R10*(1-attrition_c)+S9</f>
        <v>92.8307896395236</v>
      </c>
      <c r="T10" s="52" t="n">
        <f aca="false">S10*(1-attrition_c)+T9</f>
        <v>101.716820163849</v>
      </c>
      <c r="U10" s="52" t="n">
        <f aca="false">T10*(1-attrition_c)+U9</f>
        <v>110.496218321883</v>
      </c>
      <c r="V10" s="52" t="n">
        <f aca="false">U10*(1-attrition_c)+V9</f>
        <v>119.170263702021</v>
      </c>
      <c r="W10" s="52" t="n">
        <f aca="false">V10*(1-attrition_c)+W9</f>
        <v>127.740220537596</v>
      </c>
      <c r="X10" s="52" t="n">
        <f aca="false">W10*(1-attrition_c)+X9</f>
        <v>136.207337891145</v>
      </c>
      <c r="Y10" s="52" t="n">
        <f aca="false">X10*(1-attrition_c)+Y9</f>
        <v>144.572849836451</v>
      </c>
      <c r="Z10" s="52" t="n">
        <f aca="false">Y10*(1-attrition_c)+Z9</f>
        <v>152.837975638414</v>
      </c>
      <c r="AA10" s="52" t="n">
        <f aca="false">Z10*(1-attrition_c)+AA9</f>
        <v>161.003919930753</v>
      </c>
      <c r="AB10" s="52" t="n">
        <f aca="false">AA10*(1-attrition_c)+AB9</f>
        <v>172.071872891584</v>
      </c>
      <c r="AC10" s="52" t="n">
        <f aca="false">AB10*(1-attrition_c)+AC9</f>
        <v>183.007010416885</v>
      </c>
      <c r="AD10" s="52" t="n">
        <f aca="false">AC10*(1-attrition_c)+AD9</f>
        <v>193.810926291882</v>
      </c>
      <c r="AE10" s="52" t="n">
        <f aca="false">AD10*(1-attrition_c)+AE9</f>
        <v>204.48519517638</v>
      </c>
      <c r="AF10" s="52" t="n">
        <f aca="false">AE10*(1-attrition_c)+AF9</f>
        <v>215.031372834263</v>
      </c>
      <c r="AG10" s="52" t="n">
        <f aca="false">AF10*(1-attrition_c)+AG9</f>
        <v>225.450996360252</v>
      </c>
      <c r="AH10" s="52" t="n">
        <f aca="false">AG10*(1-attrition_c)+AH9</f>
        <v>235.745584403929</v>
      </c>
      <c r="AI10" s="52" t="n">
        <f aca="false">AH10*(1-attrition_c)+AI9</f>
        <v>245.916637391082</v>
      </c>
      <c r="AJ10" s="52" t="n">
        <f aca="false">AI10*(1-attrition_c)+AJ9</f>
        <v>255.965637742389</v>
      </c>
      <c r="AK10" s="52" t="n">
        <f aca="false">AJ10*(1-attrition_c)+AK9</f>
        <v>265.89405008948</v>
      </c>
      <c r="AL10" s="52" t="n">
        <f aca="false">AK10*(1-attrition_c)+AL9</f>
        <v>275.703321488406</v>
      </c>
      <c r="AM10" s="52" t="n">
        <f aca="false">AL10*(1-attrition_c)+AM9</f>
        <v>285.394881630546</v>
      </c>
      <c r="AO10" s="52" t="n">
        <f aca="false">INDEX($D10:$AM10,(AO$4-annee_debut)*12+12)</f>
        <v>56.1942041766924</v>
      </c>
      <c r="AP10" s="52" t="n">
        <f aca="false">INDEX($D10:$AM10,(AP$4-annee_debut)*12+12)</f>
        <v>161.003919930753</v>
      </c>
      <c r="AQ10" s="52" t="n">
        <f aca="false">INDEX($D10:$AM10,(AQ$4-annee_debut)*12+12)</f>
        <v>285.394881630546</v>
      </c>
    </row>
    <row r="11" customFormat="false" ht="15" hidden="false" customHeight="false" outlineLevel="0" collapsed="false">
      <c r="A11" s="10" t="s">
        <v>388</v>
      </c>
      <c r="B11" s="13" t="s">
        <v>59</v>
      </c>
      <c r="C11" s="51" t="n">
        <v>0</v>
      </c>
      <c r="D11" s="53" t="n">
        <f aca="false">(C10+D10)/2</f>
        <v>2.5</v>
      </c>
      <c r="E11" s="53" t="n">
        <f aca="false">(D10+E10)/2</f>
        <v>7.47</v>
      </c>
      <c r="F11" s="53" t="n">
        <f aca="false">(E10+F10)/2</f>
        <v>12.38036</v>
      </c>
      <c r="G11" s="53" t="n">
        <f aca="false">(F10+G10)/2</f>
        <v>17.23179568</v>
      </c>
      <c r="H11" s="53" t="n">
        <f aca="false">(G10+H10)/2</f>
        <v>22.02501413184</v>
      </c>
      <c r="I11" s="53" t="n">
        <f aca="false">(H10+I10)/2</f>
        <v>26.7607139622579</v>
      </c>
      <c r="J11" s="53" t="n">
        <f aca="false">(I10+J10)/2</f>
        <v>31.4395853947108</v>
      </c>
      <c r="K11" s="53" t="n">
        <f aca="false">(J10+K10)/2</f>
        <v>36.0623103699743</v>
      </c>
      <c r="L11" s="53" t="n">
        <f aca="false">(K10+L10)/2</f>
        <v>40.6295626455346</v>
      </c>
      <c r="M11" s="53" t="n">
        <f aca="false">(L10+M10)/2</f>
        <v>45.1420078937882</v>
      </c>
      <c r="N11" s="53" t="n">
        <f aca="false">(M10+N10)/2</f>
        <v>49.6003037990627</v>
      </c>
      <c r="O11" s="53" t="n">
        <f aca="false">(N10+O10)/2</f>
        <v>54.005100153474</v>
      </c>
      <c r="P11" s="53" t="n">
        <f aca="false">(O10+P10)/2</f>
        <v>60.8570389516323</v>
      </c>
      <c r="Q11" s="53" t="n">
        <f aca="false">(P10+Q10)/2</f>
        <v>70.1267544842127</v>
      </c>
      <c r="R11" s="53" t="n">
        <f aca="false">(Q10+R10)/2</f>
        <v>79.2852334304021</v>
      </c>
      <c r="S11" s="53" t="n">
        <f aca="false">(R10+S10)/2</f>
        <v>88.3338106292373</v>
      </c>
      <c r="T11" s="53" t="n">
        <f aca="false">(S10+T10)/2</f>
        <v>97.2738049016865</v>
      </c>
      <c r="U11" s="53" t="n">
        <f aca="false">(T10+U10)/2</f>
        <v>106.106519242866</v>
      </c>
      <c r="V11" s="53" t="n">
        <f aca="false">(U10+V10)/2</f>
        <v>114.833241011952</v>
      </c>
      <c r="W11" s="53" t="n">
        <f aca="false">(V10+W10)/2</f>
        <v>123.455242119808</v>
      </c>
      <c r="X11" s="53" t="n">
        <f aca="false">(W10+X10)/2</f>
        <v>131.973779214371</v>
      </c>
      <c r="Y11" s="53" t="n">
        <f aca="false">(X10+Y10)/2</f>
        <v>140.390093863798</v>
      </c>
      <c r="Z11" s="53" t="n">
        <f aca="false">(Y10+Z10)/2</f>
        <v>148.705412737433</v>
      </c>
      <c r="AA11" s="53" t="n">
        <f aca="false">(Z10+AA10)/2</f>
        <v>156.920947784583</v>
      </c>
      <c r="AB11" s="53" t="n">
        <f aca="false">(AA10+AB10)/2</f>
        <v>166.537896411168</v>
      </c>
      <c r="AC11" s="53" t="n">
        <f aca="false">(AB10+AC10)/2</f>
        <v>177.539441654234</v>
      </c>
      <c r="AD11" s="53" t="n">
        <f aca="false">(AC10+AD10)/2</f>
        <v>188.408968354384</v>
      </c>
      <c r="AE11" s="53" t="n">
        <f aca="false">(AD10+AE10)/2</f>
        <v>199.148060734131</v>
      </c>
      <c r="AF11" s="53" t="n">
        <f aca="false">(AE10+AF10)/2</f>
        <v>209.758284005321</v>
      </c>
      <c r="AG11" s="53" t="n">
        <f aca="false">(AF10+AG10)/2</f>
        <v>220.241184597258</v>
      </c>
      <c r="AH11" s="53" t="n">
        <f aca="false">(AG10+AH10)/2</f>
        <v>230.598290382091</v>
      </c>
      <c r="AI11" s="53" t="n">
        <f aca="false">(AH10+AI10)/2</f>
        <v>240.831110897505</v>
      </c>
      <c r="AJ11" s="53" t="n">
        <f aca="false">(AI10+AJ10)/2</f>
        <v>250.941137566735</v>
      </c>
      <c r="AK11" s="53" t="n">
        <f aca="false">(AJ10+AK10)/2</f>
        <v>260.929843915935</v>
      </c>
      <c r="AL11" s="53" t="n">
        <f aca="false">(AK10+AL10)/2</f>
        <v>270.798685788943</v>
      </c>
      <c r="AM11" s="53" t="n">
        <f aca="false">(AL10+AM10)/2</f>
        <v>280.549101559476</v>
      </c>
    </row>
    <row r="12" customFormat="false" ht="15" hidden="false" customHeight="false" outlineLevel="0" collapsed="false">
      <c r="A12" s="10" t="s">
        <v>389</v>
      </c>
      <c r="B12" s="13" t="s">
        <v>390</v>
      </c>
      <c r="C12" s="54" t="n">
        <v>0</v>
      </c>
      <c r="D12" s="55" t="n">
        <f aca="false">INDEX(saisonnalite,D$5)</f>
        <v>0.95</v>
      </c>
      <c r="E12" s="55" t="n">
        <f aca="false">INDEX(saisonnalite,E$5)</f>
        <v>0.95</v>
      </c>
      <c r="F12" s="55" t="n">
        <f aca="false">INDEX(saisonnalite,F$5)</f>
        <v>1</v>
      </c>
      <c r="G12" s="55" t="n">
        <f aca="false">INDEX(saisonnalite,G$5)</f>
        <v>1.02</v>
      </c>
      <c r="H12" s="55" t="n">
        <f aca="false">INDEX(saisonnalite,H$5)</f>
        <v>1.05</v>
      </c>
      <c r="I12" s="55" t="n">
        <f aca="false">INDEX(saisonnalite,I$5)</f>
        <v>1.08</v>
      </c>
      <c r="J12" s="55" t="n">
        <f aca="false">INDEX(saisonnalite,J$5)</f>
        <v>1.05</v>
      </c>
      <c r="K12" s="55" t="n">
        <f aca="false">INDEX(saisonnalite,K$5)</f>
        <v>0.8</v>
      </c>
      <c r="L12" s="55" t="n">
        <f aca="false">INDEX(saisonnalite,L$5)</f>
        <v>1.05</v>
      </c>
      <c r="M12" s="55" t="n">
        <f aca="false">INDEX(saisonnalite,M$5)</f>
        <v>1.03</v>
      </c>
      <c r="N12" s="55" t="n">
        <f aca="false">INDEX(saisonnalite,N$5)</f>
        <v>1</v>
      </c>
      <c r="O12" s="55" t="n">
        <f aca="false">INDEX(saisonnalite,O$5)</f>
        <v>1.02</v>
      </c>
      <c r="P12" s="55" t="n">
        <f aca="false">INDEX(saisonnalite,P$5)</f>
        <v>0.95</v>
      </c>
      <c r="Q12" s="55" t="n">
        <f aca="false">INDEX(saisonnalite,Q$5)</f>
        <v>0.95</v>
      </c>
      <c r="R12" s="55" t="n">
        <f aca="false">INDEX(saisonnalite,R$5)</f>
        <v>1</v>
      </c>
      <c r="S12" s="55" t="n">
        <f aca="false">INDEX(saisonnalite,S$5)</f>
        <v>1.02</v>
      </c>
      <c r="T12" s="55" t="n">
        <f aca="false">INDEX(saisonnalite,T$5)</f>
        <v>1.05</v>
      </c>
      <c r="U12" s="55" t="n">
        <f aca="false">INDEX(saisonnalite,U$5)</f>
        <v>1.08</v>
      </c>
      <c r="V12" s="55" t="n">
        <f aca="false">INDEX(saisonnalite,V$5)</f>
        <v>1.05</v>
      </c>
      <c r="W12" s="55" t="n">
        <f aca="false">INDEX(saisonnalite,W$5)</f>
        <v>0.8</v>
      </c>
      <c r="X12" s="55" t="n">
        <f aca="false">INDEX(saisonnalite,X$5)</f>
        <v>1.05</v>
      </c>
      <c r="Y12" s="55" t="n">
        <f aca="false">INDEX(saisonnalite,Y$5)</f>
        <v>1.03</v>
      </c>
      <c r="Z12" s="55" t="n">
        <f aca="false">INDEX(saisonnalite,Z$5)</f>
        <v>1</v>
      </c>
      <c r="AA12" s="55" t="n">
        <f aca="false">INDEX(saisonnalite,AA$5)</f>
        <v>1.02</v>
      </c>
      <c r="AB12" s="55" t="n">
        <f aca="false">INDEX(saisonnalite,AB$5)</f>
        <v>0.95</v>
      </c>
      <c r="AC12" s="55" t="n">
        <f aca="false">INDEX(saisonnalite,AC$5)</f>
        <v>0.95</v>
      </c>
      <c r="AD12" s="55" t="n">
        <f aca="false">INDEX(saisonnalite,AD$5)</f>
        <v>1</v>
      </c>
      <c r="AE12" s="55" t="n">
        <f aca="false">INDEX(saisonnalite,AE$5)</f>
        <v>1.02</v>
      </c>
      <c r="AF12" s="55" t="n">
        <f aca="false">INDEX(saisonnalite,AF$5)</f>
        <v>1.05</v>
      </c>
      <c r="AG12" s="55" t="n">
        <f aca="false">INDEX(saisonnalite,AG$5)</f>
        <v>1.08</v>
      </c>
      <c r="AH12" s="55" t="n">
        <f aca="false">INDEX(saisonnalite,AH$5)</f>
        <v>1.05</v>
      </c>
      <c r="AI12" s="55" t="n">
        <f aca="false">INDEX(saisonnalite,AI$5)</f>
        <v>0.8</v>
      </c>
      <c r="AJ12" s="55" t="n">
        <f aca="false">INDEX(saisonnalite,AJ$5)</f>
        <v>1.05</v>
      </c>
      <c r="AK12" s="55" t="n">
        <f aca="false">INDEX(saisonnalite,AK$5)</f>
        <v>1.03</v>
      </c>
      <c r="AL12" s="55" t="n">
        <f aca="false">INDEX(saisonnalite,AL$5)</f>
        <v>1</v>
      </c>
      <c r="AM12" s="55" t="n">
        <f aca="false">INDEX(saisonnalite,AM$5)</f>
        <v>1.02</v>
      </c>
    </row>
    <row r="13" customFormat="false" ht="15" hidden="false" customHeight="false" outlineLevel="0" collapsed="false">
      <c r="A13" s="11" t="s">
        <v>391</v>
      </c>
      <c r="B13" s="13" t="s">
        <v>59</v>
      </c>
      <c r="C13" s="50" t="n">
        <v>0</v>
      </c>
      <c r="D13" s="44" t="n">
        <f aca="false">D11*rotations_pdv_c*D12</f>
        <v>1710</v>
      </c>
      <c r="E13" s="44" t="n">
        <f aca="false">E11*rotations_pdv_c*E12</f>
        <v>5109.48</v>
      </c>
      <c r="F13" s="44" t="n">
        <f aca="false">F11*rotations_pdv_c*F12</f>
        <v>8913.8592</v>
      </c>
      <c r="G13" s="44" t="n">
        <f aca="false">G11*rotations_pdv_c*G12</f>
        <v>12655.030747392</v>
      </c>
      <c r="H13" s="44" t="n">
        <f aca="false">H11*rotations_pdv_c*H12</f>
        <v>16650.910683671</v>
      </c>
      <c r="I13" s="44" t="n">
        <f aca="false">I11*rotations_pdv_c*I12</f>
        <v>20809.1311770518</v>
      </c>
      <c r="J13" s="44" t="n">
        <f aca="false">J11*rotations_pdv_c*J12</f>
        <v>23768.3265584014</v>
      </c>
      <c r="K13" s="44" t="n">
        <f aca="false">K11*rotations_pdv_c*K12</f>
        <v>20771.8907731052</v>
      </c>
      <c r="L13" s="44" t="n">
        <f aca="false">L11*rotations_pdv_c*L12</f>
        <v>30715.9493600242</v>
      </c>
      <c r="M13" s="44" t="n">
        <f aca="false">M11*rotations_pdv_c*M12</f>
        <v>33477.3130540333</v>
      </c>
      <c r="N13" s="44" t="n">
        <f aca="false">N11*rotations_pdv_c*N12</f>
        <v>35712.2187353252</v>
      </c>
      <c r="O13" s="44" t="n">
        <f aca="false">O11*rotations_pdv_c*O12</f>
        <v>39661.3455527113</v>
      </c>
      <c r="P13" s="44" t="n">
        <f aca="false">P11*rotations_pdv_c*P12</f>
        <v>41626.2146429165</v>
      </c>
      <c r="Q13" s="44" t="n">
        <f aca="false">Q11*rotations_pdv_c*Q12</f>
        <v>47966.7000672015</v>
      </c>
      <c r="R13" s="44" t="n">
        <f aca="false">R11*rotations_pdv_c*R12</f>
        <v>57085.3680698895</v>
      </c>
      <c r="S13" s="44" t="n">
        <f aca="false">S11*rotations_pdv_c*S12</f>
        <v>64872.3505261119</v>
      </c>
      <c r="T13" s="44" t="n">
        <f aca="false">T11*rotations_pdv_c*T12</f>
        <v>73538.996505675</v>
      </c>
      <c r="U13" s="44" t="n">
        <f aca="false">U11*rotations_pdv_c*U12</f>
        <v>82508.4293632528</v>
      </c>
      <c r="V13" s="44" t="n">
        <f aca="false">V11*rotations_pdv_c*V12</f>
        <v>86813.9302050356</v>
      </c>
      <c r="W13" s="44" t="n">
        <f aca="false">W11*rotations_pdv_c*W12</f>
        <v>71110.2194610097</v>
      </c>
      <c r="X13" s="44" t="n">
        <f aca="false">X11*rotations_pdv_c*X12</f>
        <v>99772.1770860643</v>
      </c>
      <c r="Y13" s="44" t="n">
        <f aca="false">Y11*rotations_pdv_c*Y12</f>
        <v>104113.293609393</v>
      </c>
      <c r="Z13" s="44" t="n">
        <f aca="false">Z11*rotations_pdv_c*Z12</f>
        <v>107067.897170952</v>
      </c>
      <c r="AA13" s="44" t="n">
        <f aca="false">AA11*rotations_pdv_c*AA12</f>
        <v>115242.744052998</v>
      </c>
      <c r="AB13" s="44" t="n">
        <f aca="false">AB11*rotations_pdv_c*AB12</f>
        <v>113911.921145239</v>
      </c>
      <c r="AC13" s="44" t="n">
        <f aca="false">AC11*rotations_pdv_c*AC12</f>
        <v>121436.978091496</v>
      </c>
      <c r="AD13" s="44" t="n">
        <f aca="false">AD11*rotations_pdv_c*AD12</f>
        <v>135654.457215156</v>
      </c>
      <c r="AE13" s="44" t="n">
        <f aca="false">AE11*rotations_pdv_c*AE12</f>
        <v>146254.335803146</v>
      </c>
      <c r="AF13" s="44" t="n">
        <f aca="false">AF11*rotations_pdv_c*AF12</f>
        <v>158577.262708023</v>
      </c>
      <c r="AG13" s="44" t="n">
        <f aca="false">AG11*rotations_pdv_c*AG12</f>
        <v>171259.545142828</v>
      </c>
      <c r="AH13" s="44" t="n">
        <f aca="false">AH11*rotations_pdv_c*AH12</f>
        <v>174332.30752886</v>
      </c>
      <c r="AI13" s="44" t="n">
        <f aca="false">AI11*rotations_pdv_c*AI12</f>
        <v>138718.719876963</v>
      </c>
      <c r="AJ13" s="44" t="n">
        <f aca="false">AJ11*rotations_pdv_c*AJ12</f>
        <v>189711.500000452</v>
      </c>
      <c r="AK13" s="44" t="n">
        <f aca="false">AK11*rotations_pdv_c*AK12</f>
        <v>193505.572248057</v>
      </c>
      <c r="AL13" s="44" t="n">
        <f aca="false">AL11*rotations_pdv_c*AL12</f>
        <v>194975.053768039</v>
      </c>
      <c r="AM13" s="44" t="n">
        <f aca="false">AM11*rotations_pdv_c*AM12</f>
        <v>206035.260185279</v>
      </c>
      <c r="AO13" s="44" t="n">
        <f aca="false">SUMIF($D$4:$AM$4,AO$4,$D13:$AM13)</f>
        <v>249955.455841715</v>
      </c>
      <c r="AP13" s="44" t="n">
        <f aca="false">SUMIF($D$4:$AM$4,AP$4,$D13:$AM13)</f>
        <v>951718.320760499</v>
      </c>
      <c r="AQ13" s="44" t="n">
        <f aca="false">SUMIF($D$4:$AM$4,AQ$4,$D13:$AM13)</f>
        <v>1944372.91371354</v>
      </c>
    </row>
    <row r="14" customFormat="false" ht="15" hidden="false" customHeight="false" outlineLevel="0" collapsed="false">
      <c r="A14" s="10" t="s">
        <v>392</v>
      </c>
      <c r="B14" s="13" t="s">
        <v>390</v>
      </c>
      <c r="C14" s="56" t="n">
        <v>0</v>
      </c>
      <c r="D14" s="57" t="n">
        <f aca="false">(1+indexation_prix)^(D$4-annee_debut)</f>
        <v>1</v>
      </c>
      <c r="E14" s="57" t="n">
        <f aca="false">(1+indexation_prix)^(E$4-annee_debut)</f>
        <v>1</v>
      </c>
      <c r="F14" s="57" t="n">
        <f aca="false">(1+indexation_prix)^(F$4-annee_debut)</f>
        <v>1</v>
      </c>
      <c r="G14" s="57" t="n">
        <f aca="false">(1+indexation_prix)^(G$4-annee_debut)</f>
        <v>1</v>
      </c>
      <c r="H14" s="57" t="n">
        <f aca="false">(1+indexation_prix)^(H$4-annee_debut)</f>
        <v>1</v>
      </c>
      <c r="I14" s="57" t="n">
        <f aca="false">(1+indexation_prix)^(I$4-annee_debut)</f>
        <v>1</v>
      </c>
      <c r="J14" s="57" t="n">
        <f aca="false">(1+indexation_prix)^(J$4-annee_debut)</f>
        <v>1</v>
      </c>
      <c r="K14" s="57" t="n">
        <f aca="false">(1+indexation_prix)^(K$4-annee_debut)</f>
        <v>1</v>
      </c>
      <c r="L14" s="57" t="n">
        <f aca="false">(1+indexation_prix)^(L$4-annee_debut)</f>
        <v>1</v>
      </c>
      <c r="M14" s="57" t="n">
        <f aca="false">(1+indexation_prix)^(M$4-annee_debut)</f>
        <v>1</v>
      </c>
      <c r="N14" s="57" t="n">
        <f aca="false">(1+indexation_prix)^(N$4-annee_debut)</f>
        <v>1</v>
      </c>
      <c r="O14" s="57" t="n">
        <f aca="false">(1+indexation_prix)^(O$4-annee_debut)</f>
        <v>1</v>
      </c>
      <c r="P14" s="57" t="n">
        <f aca="false">(1+indexation_prix)^(P$4-annee_debut)</f>
        <v>1.02</v>
      </c>
      <c r="Q14" s="57" t="n">
        <f aca="false">(1+indexation_prix)^(Q$4-annee_debut)</f>
        <v>1.02</v>
      </c>
      <c r="R14" s="57" t="n">
        <f aca="false">(1+indexation_prix)^(R$4-annee_debut)</f>
        <v>1.02</v>
      </c>
      <c r="S14" s="57" t="n">
        <f aca="false">(1+indexation_prix)^(S$4-annee_debut)</f>
        <v>1.02</v>
      </c>
      <c r="T14" s="57" t="n">
        <f aca="false">(1+indexation_prix)^(T$4-annee_debut)</f>
        <v>1.02</v>
      </c>
      <c r="U14" s="57" t="n">
        <f aca="false">(1+indexation_prix)^(U$4-annee_debut)</f>
        <v>1.02</v>
      </c>
      <c r="V14" s="57" t="n">
        <f aca="false">(1+indexation_prix)^(V$4-annee_debut)</f>
        <v>1.02</v>
      </c>
      <c r="W14" s="57" t="n">
        <f aca="false">(1+indexation_prix)^(W$4-annee_debut)</f>
        <v>1.02</v>
      </c>
      <c r="X14" s="57" t="n">
        <f aca="false">(1+indexation_prix)^(X$4-annee_debut)</f>
        <v>1.02</v>
      </c>
      <c r="Y14" s="57" t="n">
        <f aca="false">(1+indexation_prix)^(Y$4-annee_debut)</f>
        <v>1.02</v>
      </c>
      <c r="Z14" s="57" t="n">
        <f aca="false">(1+indexation_prix)^(Z$4-annee_debut)</f>
        <v>1.02</v>
      </c>
      <c r="AA14" s="57" t="n">
        <f aca="false">(1+indexation_prix)^(AA$4-annee_debut)</f>
        <v>1.02</v>
      </c>
      <c r="AB14" s="57" t="n">
        <f aca="false">(1+indexation_prix)^(AB$4-annee_debut)</f>
        <v>1.0404</v>
      </c>
      <c r="AC14" s="57" t="n">
        <f aca="false">(1+indexation_prix)^(AC$4-annee_debut)</f>
        <v>1.0404</v>
      </c>
      <c r="AD14" s="57" t="n">
        <f aca="false">(1+indexation_prix)^(AD$4-annee_debut)</f>
        <v>1.0404</v>
      </c>
      <c r="AE14" s="57" t="n">
        <f aca="false">(1+indexation_prix)^(AE$4-annee_debut)</f>
        <v>1.0404</v>
      </c>
      <c r="AF14" s="57" t="n">
        <f aca="false">(1+indexation_prix)^(AF$4-annee_debut)</f>
        <v>1.0404</v>
      </c>
      <c r="AG14" s="57" t="n">
        <f aca="false">(1+indexation_prix)^(AG$4-annee_debut)</f>
        <v>1.0404</v>
      </c>
      <c r="AH14" s="57" t="n">
        <f aca="false">(1+indexation_prix)^(AH$4-annee_debut)</f>
        <v>1.0404</v>
      </c>
      <c r="AI14" s="57" t="n">
        <f aca="false">(1+indexation_prix)^(AI$4-annee_debut)</f>
        <v>1.0404</v>
      </c>
      <c r="AJ14" s="57" t="n">
        <f aca="false">(1+indexation_prix)^(AJ$4-annee_debut)</f>
        <v>1.0404</v>
      </c>
      <c r="AK14" s="57" t="n">
        <f aca="false">(1+indexation_prix)^(AK$4-annee_debut)</f>
        <v>1.0404</v>
      </c>
      <c r="AL14" s="57" t="n">
        <f aca="false">(1+indexation_prix)^(AL$4-annee_debut)</f>
        <v>1.0404</v>
      </c>
      <c r="AM14" s="57" t="n">
        <f aca="false">(1+indexation_prix)^(AM$4-annee_debut)</f>
        <v>1.0404</v>
      </c>
    </row>
    <row r="15" customFormat="false" ht="15" hidden="false" customHeight="false" outlineLevel="0" collapsed="false">
      <c r="A15" s="10" t="s">
        <v>393</v>
      </c>
      <c r="B15" s="13" t="s">
        <v>390</v>
      </c>
      <c r="C15" s="56" t="n">
        <v>0</v>
      </c>
      <c r="D15" s="57" t="n">
        <f aca="false">(1+inflation_couts)^(D$4-annee_debut)</f>
        <v>1</v>
      </c>
      <c r="E15" s="57" t="n">
        <f aca="false">(1+inflation_couts)^(E$4-annee_debut)</f>
        <v>1</v>
      </c>
      <c r="F15" s="57" t="n">
        <f aca="false">(1+inflation_couts)^(F$4-annee_debut)</f>
        <v>1</v>
      </c>
      <c r="G15" s="57" t="n">
        <f aca="false">(1+inflation_couts)^(G$4-annee_debut)</f>
        <v>1</v>
      </c>
      <c r="H15" s="57" t="n">
        <f aca="false">(1+inflation_couts)^(H$4-annee_debut)</f>
        <v>1</v>
      </c>
      <c r="I15" s="57" t="n">
        <f aca="false">(1+inflation_couts)^(I$4-annee_debut)</f>
        <v>1</v>
      </c>
      <c r="J15" s="57" t="n">
        <f aca="false">(1+inflation_couts)^(J$4-annee_debut)</f>
        <v>1</v>
      </c>
      <c r="K15" s="57" t="n">
        <f aca="false">(1+inflation_couts)^(K$4-annee_debut)</f>
        <v>1</v>
      </c>
      <c r="L15" s="57" t="n">
        <f aca="false">(1+inflation_couts)^(L$4-annee_debut)</f>
        <v>1</v>
      </c>
      <c r="M15" s="57" t="n">
        <f aca="false">(1+inflation_couts)^(M$4-annee_debut)</f>
        <v>1</v>
      </c>
      <c r="N15" s="57" t="n">
        <f aca="false">(1+inflation_couts)^(N$4-annee_debut)</f>
        <v>1</v>
      </c>
      <c r="O15" s="57" t="n">
        <f aca="false">(1+inflation_couts)^(O$4-annee_debut)</f>
        <v>1</v>
      </c>
      <c r="P15" s="57" t="n">
        <f aca="false">(1+inflation_couts)^(P$4-annee_debut)</f>
        <v>1.02</v>
      </c>
      <c r="Q15" s="57" t="n">
        <f aca="false">(1+inflation_couts)^(Q$4-annee_debut)</f>
        <v>1.02</v>
      </c>
      <c r="R15" s="57" t="n">
        <f aca="false">(1+inflation_couts)^(R$4-annee_debut)</f>
        <v>1.02</v>
      </c>
      <c r="S15" s="57" t="n">
        <f aca="false">(1+inflation_couts)^(S$4-annee_debut)</f>
        <v>1.02</v>
      </c>
      <c r="T15" s="57" t="n">
        <f aca="false">(1+inflation_couts)^(T$4-annee_debut)</f>
        <v>1.02</v>
      </c>
      <c r="U15" s="57" t="n">
        <f aca="false">(1+inflation_couts)^(U$4-annee_debut)</f>
        <v>1.02</v>
      </c>
      <c r="V15" s="57" t="n">
        <f aca="false">(1+inflation_couts)^(V$4-annee_debut)</f>
        <v>1.02</v>
      </c>
      <c r="W15" s="57" t="n">
        <f aca="false">(1+inflation_couts)^(W$4-annee_debut)</f>
        <v>1.02</v>
      </c>
      <c r="X15" s="57" t="n">
        <f aca="false">(1+inflation_couts)^(X$4-annee_debut)</f>
        <v>1.02</v>
      </c>
      <c r="Y15" s="57" t="n">
        <f aca="false">(1+inflation_couts)^(Y$4-annee_debut)</f>
        <v>1.02</v>
      </c>
      <c r="Z15" s="57" t="n">
        <f aca="false">(1+inflation_couts)^(Z$4-annee_debut)</f>
        <v>1.02</v>
      </c>
      <c r="AA15" s="57" t="n">
        <f aca="false">(1+inflation_couts)^(AA$4-annee_debut)</f>
        <v>1.02</v>
      </c>
      <c r="AB15" s="57" t="n">
        <f aca="false">(1+inflation_couts)^(AB$4-annee_debut)</f>
        <v>1.0404</v>
      </c>
      <c r="AC15" s="57" t="n">
        <f aca="false">(1+inflation_couts)^(AC$4-annee_debut)</f>
        <v>1.0404</v>
      </c>
      <c r="AD15" s="57" t="n">
        <f aca="false">(1+inflation_couts)^(AD$4-annee_debut)</f>
        <v>1.0404</v>
      </c>
      <c r="AE15" s="57" t="n">
        <f aca="false">(1+inflation_couts)^(AE$4-annee_debut)</f>
        <v>1.0404</v>
      </c>
      <c r="AF15" s="57" t="n">
        <f aca="false">(1+inflation_couts)^(AF$4-annee_debut)</f>
        <v>1.0404</v>
      </c>
      <c r="AG15" s="57" t="n">
        <f aca="false">(1+inflation_couts)^(AG$4-annee_debut)</f>
        <v>1.0404</v>
      </c>
      <c r="AH15" s="57" t="n">
        <f aca="false">(1+inflation_couts)^(AH$4-annee_debut)</f>
        <v>1.0404</v>
      </c>
      <c r="AI15" s="57" t="n">
        <f aca="false">(1+inflation_couts)^(AI$4-annee_debut)</f>
        <v>1.0404</v>
      </c>
      <c r="AJ15" s="57" t="n">
        <f aca="false">(1+inflation_couts)^(AJ$4-annee_debut)</f>
        <v>1.0404</v>
      </c>
      <c r="AK15" s="57" t="n">
        <f aca="false">(1+inflation_couts)^(AK$4-annee_debut)</f>
        <v>1.0404</v>
      </c>
      <c r="AL15" s="57" t="n">
        <f aca="false">(1+inflation_couts)^(AL$4-annee_debut)</f>
        <v>1.0404</v>
      </c>
      <c r="AM15" s="57" t="n">
        <f aca="false">(1+inflation_couts)^(AM$4-annee_debut)</f>
        <v>1.0404</v>
      </c>
    </row>
    <row r="16" customFormat="false" ht="15" hidden="false" customHeight="false" outlineLevel="0" collapsed="false">
      <c r="A16" s="5" t="s">
        <v>224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</row>
    <row r="17" customFormat="false" ht="15" hidden="false" customHeight="false" outlineLevel="0" collapsed="false">
      <c r="A17" s="10" t="s">
        <v>260</v>
      </c>
      <c r="B17" s="13" t="s">
        <v>71</v>
      </c>
      <c r="C17" s="50" t="n">
        <v>0</v>
      </c>
      <c r="D17" s="45" t="n">
        <f aca="false">D13*prix_rotation_c*D14</f>
        <v>855</v>
      </c>
      <c r="E17" s="45" t="n">
        <f aca="false">E13*prix_rotation_c*E14</f>
        <v>2554.74</v>
      </c>
      <c r="F17" s="45" t="n">
        <f aca="false">F13*prix_rotation_c*F14</f>
        <v>4456.9296</v>
      </c>
      <c r="G17" s="45" t="n">
        <f aca="false">G13*prix_rotation_c*G14</f>
        <v>6327.515373696</v>
      </c>
      <c r="H17" s="45" t="n">
        <f aca="false">H13*prix_rotation_c*H14</f>
        <v>8325.45534183552</v>
      </c>
      <c r="I17" s="45" t="n">
        <f aca="false">I13*prix_rotation_c*I14</f>
        <v>10404.5655885259</v>
      </c>
      <c r="J17" s="45" t="n">
        <f aca="false">J13*prix_rotation_c*J14</f>
        <v>11884.1632792007</v>
      </c>
      <c r="K17" s="45" t="n">
        <f aca="false">K13*prix_rotation_c*K14</f>
        <v>10385.9453865526</v>
      </c>
      <c r="L17" s="45" t="n">
        <f aca="false">L13*prix_rotation_c*L14</f>
        <v>15357.9746800121</v>
      </c>
      <c r="M17" s="45" t="n">
        <f aca="false">M13*prix_rotation_c*M14</f>
        <v>16738.6565270167</v>
      </c>
      <c r="N17" s="45" t="n">
        <f aca="false">N13*prix_rotation_c*N14</f>
        <v>17856.1093676626</v>
      </c>
      <c r="O17" s="45" t="n">
        <f aca="false">O13*prix_rotation_c*O14</f>
        <v>19830.6727763556</v>
      </c>
      <c r="P17" s="45" t="n">
        <f aca="false">P13*prix_rotation_c*P14</f>
        <v>21229.3694678874</v>
      </c>
      <c r="Q17" s="45" t="n">
        <f aca="false">Q13*prix_rotation_c*Q14</f>
        <v>24463.0170342728</v>
      </c>
      <c r="R17" s="45" t="n">
        <f aca="false">R13*prix_rotation_c*R14</f>
        <v>29113.5377156437</v>
      </c>
      <c r="S17" s="45" t="n">
        <f aca="false">S13*prix_rotation_c*S14</f>
        <v>33084.8987683171</v>
      </c>
      <c r="T17" s="45" t="n">
        <f aca="false">T13*prix_rotation_c*T14</f>
        <v>37504.8882178942</v>
      </c>
      <c r="U17" s="45" t="n">
        <f aca="false">U13*prix_rotation_c*U14</f>
        <v>42079.2989752589</v>
      </c>
      <c r="V17" s="45" t="n">
        <f aca="false">V13*prix_rotation_c*V14</f>
        <v>44275.1044045682</v>
      </c>
      <c r="W17" s="45" t="n">
        <f aca="false">W13*prix_rotation_c*W14</f>
        <v>36266.2119251149</v>
      </c>
      <c r="X17" s="45" t="n">
        <f aca="false">X13*prix_rotation_c*X14</f>
        <v>50883.8103138928</v>
      </c>
      <c r="Y17" s="45" t="n">
        <f aca="false">Y13*prix_rotation_c*Y14</f>
        <v>53097.7797407903</v>
      </c>
      <c r="Z17" s="45" t="n">
        <f aca="false">Z13*prix_rotation_c*Z14</f>
        <v>54604.6275571853</v>
      </c>
      <c r="AA17" s="45" t="n">
        <f aca="false">AA13*prix_rotation_c*AA14</f>
        <v>58773.799467029</v>
      </c>
      <c r="AB17" s="45" t="n">
        <f aca="false">AB13*prix_rotation_c*AB14</f>
        <v>59256.9813797534</v>
      </c>
      <c r="AC17" s="45" t="n">
        <f aca="false">AC13*prix_rotation_c*AC14</f>
        <v>63171.5160031964</v>
      </c>
      <c r="AD17" s="45" t="n">
        <f aca="false">AD13*prix_rotation_c*AD14</f>
        <v>70567.4486433243</v>
      </c>
      <c r="AE17" s="45" t="n">
        <f aca="false">AE13*prix_rotation_c*AE14</f>
        <v>76081.5054847965</v>
      </c>
      <c r="AF17" s="45" t="n">
        <f aca="false">AF13*prix_rotation_c*AF14</f>
        <v>82491.8920607136</v>
      </c>
      <c r="AG17" s="45" t="n">
        <f aca="false">AG13*prix_rotation_c*AG14</f>
        <v>89089.2153832989</v>
      </c>
      <c r="AH17" s="45" t="n">
        <f aca="false">AH13*prix_rotation_c*AH14</f>
        <v>90687.6663765132</v>
      </c>
      <c r="AI17" s="45" t="n">
        <f aca="false">AI13*prix_rotation_c*AI14</f>
        <v>72161.4780799962</v>
      </c>
      <c r="AJ17" s="45" t="n">
        <f aca="false">AJ13*prix_rotation_c*AJ14</f>
        <v>98687.9223002351</v>
      </c>
      <c r="AK17" s="45" t="n">
        <f aca="false">AK13*prix_rotation_c*AK14</f>
        <v>100661.598683439</v>
      </c>
      <c r="AL17" s="45" t="n">
        <f aca="false">AL13*prix_rotation_c*AL14</f>
        <v>101426.022970134</v>
      </c>
      <c r="AM17" s="45" t="n">
        <f aca="false">AM13*prix_rotation_c*AM14</f>
        <v>107179.542348382</v>
      </c>
      <c r="AO17" s="45" t="n">
        <f aca="false">SUMIF($D$4:$AM$4,AO$4,$D17:$AM17)</f>
        <v>124977.727920858</v>
      </c>
      <c r="AP17" s="45" t="n">
        <f aca="false">SUMIF($D$4:$AM$4,AP$4,$D17:$AM17)</f>
        <v>485376.343587854</v>
      </c>
      <c r="AQ17" s="45" t="n">
        <f aca="false">SUMIF($D$4:$AM$4,AQ$4,$D17:$AM17)</f>
        <v>1011462.78971378</v>
      </c>
    </row>
    <row r="18" customFormat="false" ht="15" hidden="false" customHeight="false" outlineLevel="0" collapsed="false">
      <c r="A18" s="10" t="s">
        <v>261</v>
      </c>
      <c r="B18" s="13" t="s">
        <v>71</v>
      </c>
      <c r="C18" s="50" t="n">
        <v>0</v>
      </c>
      <c r="D18" s="45" t="n">
        <f aca="false">D11*abonnement_c*D14</f>
        <v>97.5</v>
      </c>
      <c r="E18" s="45" t="n">
        <f aca="false">E11*abonnement_c*E14</f>
        <v>291.33</v>
      </c>
      <c r="F18" s="45" t="n">
        <f aca="false">F11*abonnement_c*F14</f>
        <v>482.83404</v>
      </c>
      <c r="G18" s="45" t="n">
        <f aca="false">G11*abonnement_c*G14</f>
        <v>672.04003152</v>
      </c>
      <c r="H18" s="45" t="n">
        <f aca="false">H11*abonnement_c*H14</f>
        <v>858.97555114176</v>
      </c>
      <c r="I18" s="45" t="n">
        <f aca="false">I11*abonnement_c*I14</f>
        <v>1043.66784452806</v>
      </c>
      <c r="J18" s="45" t="n">
        <f aca="false">J11*abonnement_c*J14</f>
        <v>1226.14383039372</v>
      </c>
      <c r="K18" s="45" t="n">
        <f aca="false">K11*abonnement_c*K14</f>
        <v>1406.430104429</v>
      </c>
      <c r="L18" s="45" t="n">
        <f aca="false">L11*abonnement_c*L14</f>
        <v>1584.55294317585</v>
      </c>
      <c r="M18" s="45" t="n">
        <f aca="false">M11*abonnement_c*M14</f>
        <v>1760.53830785774</v>
      </c>
      <c r="N18" s="45" t="n">
        <f aca="false">N11*abonnement_c*N14</f>
        <v>1934.41184816345</v>
      </c>
      <c r="O18" s="45" t="n">
        <f aca="false">O11*abonnement_c*O14</f>
        <v>2106.19890598549</v>
      </c>
      <c r="P18" s="45" t="n">
        <f aca="false">P11*abonnement_c*P14</f>
        <v>2420.89300949593</v>
      </c>
      <c r="Q18" s="45" t="n">
        <f aca="false">Q11*abonnement_c*Q14</f>
        <v>2789.64229338198</v>
      </c>
      <c r="R18" s="45" t="n">
        <f aca="false">R11*abonnement_c*R14</f>
        <v>3153.9665858614</v>
      </c>
      <c r="S18" s="45" t="n">
        <f aca="false">S11*abonnement_c*S14</f>
        <v>3513.91898683106</v>
      </c>
      <c r="T18" s="45" t="n">
        <f aca="false">T11*abonnement_c*T14</f>
        <v>3869.55195898909</v>
      </c>
      <c r="U18" s="45" t="n">
        <f aca="false">U11*abonnement_c*U14</f>
        <v>4220.91733548122</v>
      </c>
      <c r="V18" s="45" t="n">
        <f aca="false">V11*abonnement_c*V14</f>
        <v>4568.06632745544</v>
      </c>
      <c r="W18" s="45" t="n">
        <f aca="false">W11*abonnement_c*W14</f>
        <v>4911.04953152598</v>
      </c>
      <c r="X18" s="45" t="n">
        <f aca="false">X11*abonnement_c*X14</f>
        <v>5249.91693714767</v>
      </c>
      <c r="Y18" s="45" t="n">
        <f aca="false">Y11*abonnement_c*Y14</f>
        <v>5584.7179339019</v>
      </c>
      <c r="Z18" s="45" t="n">
        <f aca="false">Z11*abonnement_c*Z14</f>
        <v>5915.50131869507</v>
      </c>
      <c r="AA18" s="45" t="n">
        <f aca="false">AA11*abonnement_c*AA14</f>
        <v>6242.31530287073</v>
      </c>
      <c r="AB18" s="45" t="n">
        <f aca="false">AB11*abonnement_c*AB14</f>
        <v>6757.37506962101</v>
      </c>
      <c r="AC18" s="45" t="n">
        <f aca="false">AC11*abonnement_c*AC14</f>
        <v>7203.76936878555</v>
      </c>
      <c r="AD18" s="45" t="n">
        <f aca="false">AD11*abonnement_c*AD14</f>
        <v>7644.80693636013</v>
      </c>
      <c r="AE18" s="45" t="n">
        <f aca="false">AE11*abonnement_c*AE14</f>
        <v>8080.55205312381</v>
      </c>
      <c r="AF18" s="45" t="n">
        <f aca="false">AF11*abonnement_c*AF14</f>
        <v>8511.06822848632</v>
      </c>
      <c r="AG18" s="45" t="n">
        <f aca="false">AG11*abonnement_c*AG14</f>
        <v>8936.41820974449</v>
      </c>
      <c r="AH18" s="45" t="n">
        <f aca="false">AH11*abonnement_c*AH14</f>
        <v>9356.66399122755</v>
      </c>
      <c r="AI18" s="45" t="n">
        <f aca="false">AI11*abonnement_c*AI14</f>
        <v>9771.86682333282</v>
      </c>
      <c r="AJ18" s="45" t="n">
        <f aca="false">AJ11*abonnement_c*AJ14</f>
        <v>10182.0872214528</v>
      </c>
      <c r="AK18" s="45" t="n">
        <f aca="false">AK11*abonnement_c*AK14</f>
        <v>10587.3849747954</v>
      </c>
      <c r="AL18" s="45" t="n">
        <f aca="false">AL11*abonnement_c*AL14</f>
        <v>10987.8191550978</v>
      </c>
      <c r="AM18" s="45" t="n">
        <f aca="false">AM11*abonnement_c*AM14</f>
        <v>11383.4481252367</v>
      </c>
      <c r="AO18" s="45" t="n">
        <f aca="false">SUMIF($D$4:$AM$4,AO$4,$D18:$AM18)</f>
        <v>13464.6234071951</v>
      </c>
      <c r="AP18" s="45" t="n">
        <f aca="false">SUMIF($D$4:$AM$4,AP$4,$D18:$AM18)</f>
        <v>52440.4575216375</v>
      </c>
      <c r="AQ18" s="45" t="n">
        <f aca="false">SUMIF($D$4:$AM$4,AQ$4,$D18:$AM18)</f>
        <v>109403.260157264</v>
      </c>
    </row>
    <row r="19" customFormat="false" ht="15" hidden="false" customHeight="false" outlineLevel="0" collapsed="false">
      <c r="A19" s="11" t="s">
        <v>224</v>
      </c>
      <c r="B19" s="13" t="s">
        <v>71</v>
      </c>
      <c r="C19" s="50" t="n">
        <v>0</v>
      </c>
      <c r="D19" s="44" t="n">
        <f aca="false">D17+D18</f>
        <v>952.5</v>
      </c>
      <c r="E19" s="44" t="n">
        <f aca="false">E17+E18</f>
        <v>2846.07</v>
      </c>
      <c r="F19" s="44" t="n">
        <f aca="false">F17+F18</f>
        <v>4939.76364</v>
      </c>
      <c r="G19" s="44" t="n">
        <f aca="false">G17+G18</f>
        <v>6999.555405216</v>
      </c>
      <c r="H19" s="44" t="n">
        <f aca="false">H17+H18</f>
        <v>9184.43089297728</v>
      </c>
      <c r="I19" s="44" t="n">
        <f aca="false">I17+I18</f>
        <v>11448.2334330539</v>
      </c>
      <c r="J19" s="44" t="n">
        <f aca="false">J17+J18</f>
        <v>13110.3071095944</v>
      </c>
      <c r="K19" s="44" t="n">
        <f aca="false">K17+K18</f>
        <v>11792.3754909816</v>
      </c>
      <c r="L19" s="44" t="n">
        <f aca="false">L17+L18</f>
        <v>16942.5276231879</v>
      </c>
      <c r="M19" s="44" t="n">
        <f aca="false">M17+M18</f>
        <v>18499.1948348744</v>
      </c>
      <c r="N19" s="44" t="n">
        <f aca="false">N17+N18</f>
        <v>19790.521215826</v>
      </c>
      <c r="O19" s="44" t="n">
        <f aca="false">O17+O18</f>
        <v>21936.8716823411</v>
      </c>
      <c r="P19" s="44" t="n">
        <f aca="false">P17+P18</f>
        <v>23650.2624773833</v>
      </c>
      <c r="Q19" s="44" t="n">
        <f aca="false">Q17+Q18</f>
        <v>27252.6593276547</v>
      </c>
      <c r="R19" s="44" t="n">
        <f aca="false">R17+R18</f>
        <v>32267.5043015051</v>
      </c>
      <c r="S19" s="44" t="n">
        <f aca="false">S17+S18</f>
        <v>36598.8177551481</v>
      </c>
      <c r="T19" s="44" t="n">
        <f aca="false">T17+T18</f>
        <v>41374.4401768833</v>
      </c>
      <c r="U19" s="44" t="n">
        <f aca="false">U17+U18</f>
        <v>46300.2163107401</v>
      </c>
      <c r="V19" s="44" t="n">
        <f aca="false">V17+V18</f>
        <v>48843.1707320236</v>
      </c>
      <c r="W19" s="44" t="n">
        <f aca="false">W17+W18</f>
        <v>41177.2614566409</v>
      </c>
      <c r="X19" s="44" t="n">
        <f aca="false">X17+X18</f>
        <v>56133.7272510404</v>
      </c>
      <c r="Y19" s="44" t="n">
        <f aca="false">Y17+Y18</f>
        <v>58682.4976746922</v>
      </c>
      <c r="Z19" s="44" t="n">
        <f aca="false">Z17+Z18</f>
        <v>60520.1288758803</v>
      </c>
      <c r="AA19" s="44" t="n">
        <f aca="false">AA17+AA18</f>
        <v>65016.1147698998</v>
      </c>
      <c r="AB19" s="44" t="n">
        <f aca="false">AB17+AB18</f>
        <v>66014.3564493745</v>
      </c>
      <c r="AC19" s="44" t="n">
        <f aca="false">AC17+AC18</f>
        <v>70375.2853719819</v>
      </c>
      <c r="AD19" s="44" t="n">
        <f aca="false">AD17+AD18</f>
        <v>78212.2555796844</v>
      </c>
      <c r="AE19" s="44" t="n">
        <f aca="false">AE17+AE18</f>
        <v>84162.0575379203</v>
      </c>
      <c r="AF19" s="44" t="n">
        <f aca="false">AF17+AF18</f>
        <v>91002.9602891999</v>
      </c>
      <c r="AG19" s="44" t="n">
        <f aca="false">AG17+AG18</f>
        <v>98025.6335930434</v>
      </c>
      <c r="AH19" s="44" t="n">
        <f aca="false">AH17+AH18</f>
        <v>100044.330367741</v>
      </c>
      <c r="AI19" s="44" t="n">
        <f aca="false">AI17+AI18</f>
        <v>81933.3449033291</v>
      </c>
      <c r="AJ19" s="44" t="n">
        <f aca="false">AJ17+AJ18</f>
        <v>108870.009521688</v>
      </c>
      <c r="AK19" s="44" t="n">
        <f aca="false">AK17+AK18</f>
        <v>111248.983658235</v>
      </c>
      <c r="AL19" s="44" t="n">
        <f aca="false">AL17+AL18</f>
        <v>112413.842125232</v>
      </c>
      <c r="AM19" s="44" t="n">
        <f aca="false">AM17+AM18</f>
        <v>118562.990473619</v>
      </c>
      <c r="AO19" s="44" t="n">
        <f aca="false">SUMIF($D$4:$AM$4,AO$4,$D19:$AM19)</f>
        <v>138442.351328053</v>
      </c>
      <c r="AP19" s="44" t="n">
        <f aca="false">SUMIF($D$4:$AM$4,AP$4,$D19:$AM19)</f>
        <v>537816.801109492</v>
      </c>
      <c r="AQ19" s="44" t="n">
        <f aca="false">SUMIF($D$4:$AM$4,AQ$4,$D19:$AM19)</f>
        <v>1120866.04987105</v>
      </c>
    </row>
    <row r="20" customFormat="false" ht="15" hidden="false" customHeight="false" outlineLevel="0" collapsed="false">
      <c r="A20" s="5" t="s">
        <v>394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</row>
    <row r="21" customFormat="false" ht="15" hidden="false" customHeight="false" outlineLevel="0" collapsed="false">
      <c r="A21" s="10" t="s">
        <v>395</v>
      </c>
      <c r="B21" s="13" t="s">
        <v>71</v>
      </c>
      <c r="C21" s="50" t="n">
        <v>0</v>
      </c>
      <c r="D21" s="45" t="n">
        <f aca="false">D13*cout_lavage_c*D15</f>
        <v>85.5</v>
      </c>
      <c r="E21" s="45" t="n">
        <f aca="false">E13*cout_lavage_c*E15</f>
        <v>255.474</v>
      </c>
      <c r="F21" s="45" t="n">
        <f aca="false">F13*cout_lavage_c*F15</f>
        <v>445.69296</v>
      </c>
      <c r="G21" s="45" t="n">
        <f aca="false">G13*cout_lavage_c*G15</f>
        <v>632.7515373696</v>
      </c>
      <c r="H21" s="45" t="n">
        <f aca="false">H13*cout_lavage_c*H15</f>
        <v>832.545534183552</v>
      </c>
      <c r="I21" s="45" t="n">
        <f aca="false">I13*cout_lavage_c*I15</f>
        <v>1040.45655885259</v>
      </c>
      <c r="J21" s="45" t="n">
        <f aca="false">J13*cout_lavage_c*J15</f>
        <v>1188.41632792007</v>
      </c>
      <c r="K21" s="45" t="n">
        <f aca="false">K13*cout_lavage_c*K15</f>
        <v>1038.59453865526</v>
      </c>
      <c r="L21" s="45" t="n">
        <f aca="false">L13*cout_lavage_c*L15</f>
        <v>1535.79746800121</v>
      </c>
      <c r="M21" s="45" t="n">
        <f aca="false">M13*cout_lavage_c*M15</f>
        <v>1673.86565270167</v>
      </c>
      <c r="N21" s="45" t="n">
        <f aca="false">N13*cout_lavage_c*N15</f>
        <v>1785.61093676626</v>
      </c>
      <c r="O21" s="45" t="n">
        <f aca="false">O13*cout_lavage_c*O15</f>
        <v>1983.06727763556</v>
      </c>
      <c r="P21" s="45" t="n">
        <f aca="false">P13*cout_lavage_c*P15</f>
        <v>2122.93694678874</v>
      </c>
      <c r="Q21" s="45" t="n">
        <f aca="false">Q13*cout_lavage_c*Q15</f>
        <v>2446.30170342728</v>
      </c>
      <c r="R21" s="45" t="n">
        <f aca="false">R13*cout_lavage_c*R15</f>
        <v>2911.35377156437</v>
      </c>
      <c r="S21" s="45" t="n">
        <f aca="false">S13*cout_lavage_c*S15</f>
        <v>3308.48987683171</v>
      </c>
      <c r="T21" s="45" t="n">
        <f aca="false">T13*cout_lavage_c*T15</f>
        <v>3750.48882178942</v>
      </c>
      <c r="U21" s="45" t="n">
        <f aca="false">U13*cout_lavage_c*U15</f>
        <v>4207.92989752589</v>
      </c>
      <c r="V21" s="45" t="n">
        <f aca="false">V13*cout_lavage_c*V15</f>
        <v>4427.51044045682</v>
      </c>
      <c r="W21" s="45" t="n">
        <f aca="false">W13*cout_lavage_c*W15</f>
        <v>3626.62119251149</v>
      </c>
      <c r="X21" s="45" t="n">
        <f aca="false">X13*cout_lavage_c*X15</f>
        <v>5088.38103138928</v>
      </c>
      <c r="Y21" s="45" t="n">
        <f aca="false">Y13*cout_lavage_c*Y15</f>
        <v>5309.77797407903</v>
      </c>
      <c r="Z21" s="45" t="n">
        <f aca="false">Z13*cout_lavage_c*Z15</f>
        <v>5460.46275571853</v>
      </c>
      <c r="AA21" s="45" t="n">
        <f aca="false">AA13*cout_lavage_c*AA15</f>
        <v>5877.3799467029</v>
      </c>
      <c r="AB21" s="45" t="n">
        <f aca="false">AB13*cout_lavage_c*AB15</f>
        <v>5925.69813797534</v>
      </c>
      <c r="AC21" s="45" t="n">
        <f aca="false">AC13*cout_lavage_c*AC15</f>
        <v>6317.15160031964</v>
      </c>
      <c r="AD21" s="45" t="n">
        <f aca="false">AD13*cout_lavage_c*AD15</f>
        <v>7056.74486433243</v>
      </c>
      <c r="AE21" s="45" t="n">
        <f aca="false">AE13*cout_lavage_c*AE15</f>
        <v>7608.15054847965</v>
      </c>
      <c r="AF21" s="45" t="n">
        <f aca="false">AF13*cout_lavage_c*AF15</f>
        <v>8249.18920607136</v>
      </c>
      <c r="AG21" s="45" t="n">
        <f aca="false">AG13*cout_lavage_c*AG15</f>
        <v>8908.92153832989</v>
      </c>
      <c r="AH21" s="45" t="n">
        <f aca="false">AH13*cout_lavage_c*AH15</f>
        <v>9068.76663765132</v>
      </c>
      <c r="AI21" s="45" t="n">
        <f aca="false">AI13*cout_lavage_c*AI15</f>
        <v>7216.14780799962</v>
      </c>
      <c r="AJ21" s="45" t="n">
        <f aca="false">AJ13*cout_lavage_c*AJ15</f>
        <v>9868.79223002351</v>
      </c>
      <c r="AK21" s="45" t="n">
        <f aca="false">AK13*cout_lavage_c*AK15</f>
        <v>10066.1598683439</v>
      </c>
      <c r="AL21" s="45" t="n">
        <f aca="false">AL13*cout_lavage_c*AL15</f>
        <v>10142.6022970134</v>
      </c>
      <c r="AM21" s="45" t="n">
        <f aca="false">AM13*cout_lavage_c*AM15</f>
        <v>10717.9542348382</v>
      </c>
      <c r="AO21" s="45" t="n">
        <f aca="false">SUMIF($D$4:$AM$4,AO$4,$D21:$AM21)</f>
        <v>12497.7727920858</v>
      </c>
      <c r="AP21" s="45" t="n">
        <f aca="false">SUMIF($D$4:$AM$4,AP$4,$D21:$AM21)</f>
        <v>48537.6343587855</v>
      </c>
      <c r="AQ21" s="45" t="n">
        <f aca="false">SUMIF($D$4:$AM$4,AQ$4,$D21:$AM21)</f>
        <v>101146.278971378</v>
      </c>
    </row>
    <row r="22" customFormat="false" ht="15" hidden="false" customHeight="false" outlineLevel="0" collapsed="false">
      <c r="A22" s="10" t="s">
        <v>264</v>
      </c>
      <c r="B22" s="13" t="s">
        <v>71</v>
      </c>
      <c r="C22" s="50" t="n">
        <v>0</v>
      </c>
      <c r="D22" s="45" t="n">
        <f aca="false">D13*cout_logistique_c*D15</f>
        <v>136.8</v>
      </c>
      <c r="E22" s="45" t="n">
        <f aca="false">E13*cout_logistique_c*E15</f>
        <v>408.7584</v>
      </c>
      <c r="F22" s="45" t="n">
        <f aca="false">F13*cout_logistique_c*F15</f>
        <v>713.108736</v>
      </c>
      <c r="G22" s="45" t="n">
        <f aca="false">G13*cout_logistique_c*G15</f>
        <v>1012.40245979136</v>
      </c>
      <c r="H22" s="45" t="n">
        <f aca="false">H13*cout_logistique_c*H15</f>
        <v>1332.07285469368</v>
      </c>
      <c r="I22" s="45" t="n">
        <f aca="false">I13*cout_logistique_c*I15</f>
        <v>1664.73049416414</v>
      </c>
      <c r="J22" s="45" t="n">
        <f aca="false">J13*cout_logistique_c*J15</f>
        <v>1901.46612467211</v>
      </c>
      <c r="K22" s="45" t="n">
        <f aca="false">K13*cout_logistique_c*K15</f>
        <v>1661.75126184842</v>
      </c>
      <c r="L22" s="45" t="n">
        <f aca="false">L13*cout_logistique_c*L15</f>
        <v>2457.27594880193</v>
      </c>
      <c r="M22" s="45" t="n">
        <f aca="false">M13*cout_logistique_c*M15</f>
        <v>2678.18504432267</v>
      </c>
      <c r="N22" s="45" t="n">
        <f aca="false">N13*cout_logistique_c*N15</f>
        <v>2856.97749882601</v>
      </c>
      <c r="O22" s="45" t="n">
        <f aca="false">O13*cout_logistique_c*O15</f>
        <v>3172.9076442169</v>
      </c>
      <c r="P22" s="45" t="n">
        <f aca="false">P13*cout_logistique_c*P15</f>
        <v>3396.69911486198</v>
      </c>
      <c r="Q22" s="45" t="n">
        <f aca="false">Q13*cout_logistique_c*Q15</f>
        <v>3914.08272548364</v>
      </c>
      <c r="R22" s="45" t="n">
        <f aca="false">R13*cout_logistique_c*R15</f>
        <v>4658.16603450299</v>
      </c>
      <c r="S22" s="45" t="n">
        <f aca="false">S13*cout_logistique_c*S15</f>
        <v>5293.58380293073</v>
      </c>
      <c r="T22" s="45" t="n">
        <f aca="false">T13*cout_logistique_c*T15</f>
        <v>6000.78211486308</v>
      </c>
      <c r="U22" s="45" t="n">
        <f aca="false">U13*cout_logistique_c*U15</f>
        <v>6732.68783604143</v>
      </c>
      <c r="V22" s="45" t="n">
        <f aca="false">V13*cout_logistique_c*V15</f>
        <v>7084.0167047309</v>
      </c>
      <c r="W22" s="45" t="n">
        <f aca="false">W13*cout_logistique_c*W15</f>
        <v>5802.59390801839</v>
      </c>
      <c r="X22" s="45" t="n">
        <f aca="false">X13*cout_logistique_c*X15</f>
        <v>8141.40965022284</v>
      </c>
      <c r="Y22" s="45" t="n">
        <f aca="false">Y13*cout_logistique_c*Y15</f>
        <v>8495.64475852645</v>
      </c>
      <c r="Z22" s="45" t="n">
        <f aca="false">Z13*cout_logistique_c*Z15</f>
        <v>8736.74040914964</v>
      </c>
      <c r="AA22" s="45" t="n">
        <f aca="false">AA13*cout_logistique_c*AA15</f>
        <v>9403.80791472464</v>
      </c>
      <c r="AB22" s="45" t="n">
        <f aca="false">AB13*cout_logistique_c*AB15</f>
        <v>9481.11702076055</v>
      </c>
      <c r="AC22" s="45" t="n">
        <f aca="false">AC13*cout_logistique_c*AC15</f>
        <v>10107.4425605114</v>
      </c>
      <c r="AD22" s="45" t="n">
        <f aca="false">AD13*cout_logistique_c*AD15</f>
        <v>11290.7917829319</v>
      </c>
      <c r="AE22" s="45" t="n">
        <f aca="false">AE13*cout_logistique_c*AE15</f>
        <v>12173.0408775674</v>
      </c>
      <c r="AF22" s="45" t="n">
        <f aca="false">AF13*cout_logistique_c*AF15</f>
        <v>13198.7027297142</v>
      </c>
      <c r="AG22" s="45" t="n">
        <f aca="false">AG13*cout_logistique_c*AG15</f>
        <v>14254.2744613278</v>
      </c>
      <c r="AH22" s="45" t="n">
        <f aca="false">AH13*cout_logistique_c*AH15</f>
        <v>14510.0266202421</v>
      </c>
      <c r="AI22" s="45" t="n">
        <f aca="false">AI13*cout_logistique_c*AI15</f>
        <v>11545.8364927994</v>
      </c>
      <c r="AJ22" s="45" t="n">
        <f aca="false">AJ13*cout_logistique_c*AJ15</f>
        <v>15790.0675680376</v>
      </c>
      <c r="AK22" s="45" t="n">
        <f aca="false">AK13*cout_logistique_c*AK15</f>
        <v>16105.8557893503</v>
      </c>
      <c r="AL22" s="45" t="n">
        <f aca="false">AL13*cout_logistique_c*AL15</f>
        <v>16228.1636752214</v>
      </c>
      <c r="AM22" s="45" t="n">
        <f aca="false">AM13*cout_logistique_c*AM15</f>
        <v>17148.7267757412</v>
      </c>
      <c r="AO22" s="45" t="n">
        <f aca="false">SUMIF($D$4:$AM$4,AO$4,$D22:$AM22)</f>
        <v>19996.4364673372</v>
      </c>
      <c r="AP22" s="45" t="n">
        <f aca="false">SUMIF($D$4:$AM$4,AP$4,$D22:$AM22)</f>
        <v>77660.2149740567</v>
      </c>
      <c r="AQ22" s="45" t="n">
        <f aca="false">SUMIF($D$4:$AM$4,AQ$4,$D22:$AM22)</f>
        <v>161834.046354205</v>
      </c>
    </row>
    <row r="23" customFormat="false" ht="15" hidden="false" customHeight="false" outlineLevel="0" collapsed="false">
      <c r="A23" s="10" t="s">
        <v>265</v>
      </c>
      <c r="B23" s="13" t="s">
        <v>71</v>
      </c>
      <c r="C23" s="50" t="n">
        <v>0</v>
      </c>
      <c r="D23" s="45" t="n">
        <f aca="false">D13*taux_perte_c*cout_contenant*D15</f>
        <v>75.24</v>
      </c>
      <c r="E23" s="45" t="n">
        <f aca="false">E13*taux_perte_c*cout_contenant*E15</f>
        <v>224.81712</v>
      </c>
      <c r="F23" s="45" t="n">
        <f aca="false">F13*taux_perte_c*cout_contenant*F15</f>
        <v>392.2098048</v>
      </c>
      <c r="G23" s="45" t="n">
        <f aca="false">G13*taux_perte_c*cout_contenant*G15</f>
        <v>556.821352885248</v>
      </c>
      <c r="H23" s="45" t="n">
        <f aca="false">H13*taux_perte_c*cout_contenant*H15</f>
        <v>732.640070081526</v>
      </c>
      <c r="I23" s="45" t="n">
        <f aca="false">I13*taux_perte_c*cout_contenant*I15</f>
        <v>915.601771790278</v>
      </c>
      <c r="J23" s="45" t="n">
        <f aca="false">J13*taux_perte_c*cout_contenant*J15</f>
        <v>1045.80636856966</v>
      </c>
      <c r="K23" s="45" t="n">
        <f aca="false">K13*taux_perte_c*cout_contenant*K15</f>
        <v>913.963194016629</v>
      </c>
      <c r="L23" s="45" t="n">
        <f aca="false">L13*taux_perte_c*cout_contenant*L15</f>
        <v>1351.50177184106</v>
      </c>
      <c r="M23" s="45" t="n">
        <f aca="false">M13*taux_perte_c*cout_contenant*M15</f>
        <v>1473.00177437747</v>
      </c>
      <c r="N23" s="45" t="n">
        <f aca="false">N13*taux_perte_c*cout_contenant*N15</f>
        <v>1571.33762435431</v>
      </c>
      <c r="O23" s="45" t="n">
        <f aca="false">O13*taux_perte_c*cout_contenant*O15</f>
        <v>1745.0992043193</v>
      </c>
      <c r="P23" s="45" t="n">
        <f aca="false">P13*taux_perte_c*cout_contenant*P15</f>
        <v>1868.18451317409</v>
      </c>
      <c r="Q23" s="45" t="n">
        <f aca="false">Q13*taux_perte_c*cout_contenant*Q15</f>
        <v>2152.745499016</v>
      </c>
      <c r="R23" s="45" t="n">
        <f aca="false">R13*taux_perte_c*cout_contenant*R15</f>
        <v>2561.99131897664</v>
      </c>
      <c r="S23" s="45" t="n">
        <f aca="false">S13*taux_perte_c*cout_contenant*S15</f>
        <v>2911.4710916119</v>
      </c>
      <c r="T23" s="45" t="n">
        <f aca="false">T13*taux_perte_c*cout_contenant*T15</f>
        <v>3300.43016317469</v>
      </c>
      <c r="U23" s="45" t="n">
        <f aca="false">U13*taux_perte_c*cout_contenant*U15</f>
        <v>3702.97830982279</v>
      </c>
      <c r="V23" s="45" t="n">
        <f aca="false">V13*taux_perte_c*cout_contenant*V15</f>
        <v>3896.209187602</v>
      </c>
      <c r="W23" s="45" t="n">
        <f aca="false">W13*taux_perte_c*cout_contenant*W15</f>
        <v>3191.42664941011</v>
      </c>
      <c r="X23" s="45" t="n">
        <f aca="false">X13*taux_perte_c*cout_contenant*X15</f>
        <v>4477.77530762256</v>
      </c>
      <c r="Y23" s="45" t="n">
        <f aca="false">Y13*taux_perte_c*cout_contenant*Y15</f>
        <v>4672.60461718955</v>
      </c>
      <c r="Z23" s="45" t="n">
        <f aca="false">Z13*taux_perte_c*cout_contenant*Z15</f>
        <v>4805.2072250323</v>
      </c>
      <c r="AA23" s="45" t="n">
        <f aca="false">AA13*taux_perte_c*cout_contenant*AA15</f>
        <v>5172.09435309856</v>
      </c>
      <c r="AB23" s="45" t="n">
        <f aca="false">AB13*taux_perte_c*cout_contenant*AB15</f>
        <v>5214.6143614183</v>
      </c>
      <c r="AC23" s="45" t="n">
        <f aca="false">AC13*taux_perte_c*cout_contenant*AC15</f>
        <v>5559.09340828128</v>
      </c>
      <c r="AD23" s="45" t="n">
        <f aca="false">AD13*taux_perte_c*cout_contenant*AD15</f>
        <v>6209.93548061254</v>
      </c>
      <c r="AE23" s="45" t="n">
        <f aca="false">AE13*taux_perte_c*cout_contenant*AE15</f>
        <v>6695.17248266209</v>
      </c>
      <c r="AF23" s="45" t="n">
        <f aca="false">AF13*taux_perte_c*cout_contenant*AF15</f>
        <v>7259.2865013428</v>
      </c>
      <c r="AG23" s="45" t="n">
        <f aca="false">AG13*taux_perte_c*cout_contenant*AG15</f>
        <v>7839.8509537303</v>
      </c>
      <c r="AH23" s="45" t="n">
        <f aca="false">AH13*taux_perte_c*cout_contenant*AH15</f>
        <v>7980.51464113316</v>
      </c>
      <c r="AI23" s="45" t="n">
        <f aca="false">AI13*taux_perte_c*cout_contenant*AI15</f>
        <v>6350.21007103967</v>
      </c>
      <c r="AJ23" s="45" t="n">
        <f aca="false">AJ13*taux_perte_c*cout_contenant*AJ15</f>
        <v>8684.53716242069</v>
      </c>
      <c r="AK23" s="45" t="n">
        <f aca="false">AK13*taux_perte_c*cout_contenant*AK15</f>
        <v>8858.22068414265</v>
      </c>
      <c r="AL23" s="45" t="n">
        <f aca="false">AL13*taux_perte_c*cout_contenant*AL15</f>
        <v>8925.49002137179</v>
      </c>
      <c r="AM23" s="45" t="n">
        <f aca="false">AM13*taux_perte_c*cout_contenant*AM15</f>
        <v>9431.79972665764</v>
      </c>
      <c r="AO23" s="45" t="n">
        <f aca="false">SUMIF($D$4:$AM$4,AO$4,$D23:$AM23)</f>
        <v>10998.0400570355</v>
      </c>
      <c r="AP23" s="45" t="n">
        <f aca="false">SUMIF($D$4:$AM$4,AP$4,$D23:$AM23)</f>
        <v>42713.1182357312</v>
      </c>
      <c r="AQ23" s="45" t="n">
        <f aca="false">SUMIF($D$4:$AM$4,AQ$4,$D23:$AM23)</f>
        <v>89008.7254948129</v>
      </c>
    </row>
    <row r="24" customFormat="false" ht="15" hidden="false" customHeight="false" outlineLevel="0" collapsed="false">
      <c r="A24" s="11" t="s">
        <v>396</v>
      </c>
      <c r="B24" s="13" t="s">
        <v>71</v>
      </c>
      <c r="C24" s="50" t="n">
        <v>0</v>
      </c>
      <c r="D24" s="44" t="n">
        <f aca="false">SUM(D21:D23)</f>
        <v>297.54</v>
      </c>
      <c r="E24" s="44" t="n">
        <f aca="false">SUM(E21:E23)</f>
        <v>889.04952</v>
      </c>
      <c r="F24" s="44" t="n">
        <f aca="false">SUM(F21:F23)</f>
        <v>1551.0115008</v>
      </c>
      <c r="G24" s="44" t="n">
        <f aca="false">SUM(G21:G23)</f>
        <v>2201.97535004621</v>
      </c>
      <c r="H24" s="44" t="n">
        <f aca="false">SUM(H21:H23)</f>
        <v>2897.25845895876</v>
      </c>
      <c r="I24" s="44" t="n">
        <f aca="false">SUM(I21:I23)</f>
        <v>3620.78882480701</v>
      </c>
      <c r="J24" s="44" t="n">
        <f aca="false">SUM(J21:J23)</f>
        <v>4135.68882116184</v>
      </c>
      <c r="K24" s="44" t="n">
        <f aca="false">SUM(K21:K23)</f>
        <v>3614.3089945203</v>
      </c>
      <c r="L24" s="44" t="n">
        <f aca="false">SUM(L21:L23)</f>
        <v>5344.5751886442</v>
      </c>
      <c r="M24" s="44" t="n">
        <f aca="false">SUM(M21:M23)</f>
        <v>5825.0524714018</v>
      </c>
      <c r="N24" s="44" t="n">
        <f aca="false">SUM(N21:N23)</f>
        <v>6213.92605994658</v>
      </c>
      <c r="O24" s="44" t="n">
        <f aca="false">SUM(O21:O23)</f>
        <v>6901.07412617177</v>
      </c>
      <c r="P24" s="44" t="n">
        <f aca="false">SUM(P21:P23)</f>
        <v>7387.82057482482</v>
      </c>
      <c r="Q24" s="44" t="n">
        <f aca="false">SUM(Q21:Q23)</f>
        <v>8513.12992792692</v>
      </c>
      <c r="R24" s="44" t="n">
        <f aca="false">SUM(R21:R23)</f>
        <v>10131.511125044</v>
      </c>
      <c r="S24" s="44" t="n">
        <f aca="false">SUM(S21:S23)</f>
        <v>11513.5447713743</v>
      </c>
      <c r="T24" s="44" t="n">
        <f aca="false">SUM(T21:T23)</f>
        <v>13051.7010998272</v>
      </c>
      <c r="U24" s="44" t="n">
        <f aca="false">SUM(U21:U23)</f>
        <v>14643.5960433901</v>
      </c>
      <c r="V24" s="44" t="n">
        <f aca="false">SUM(V21:V23)</f>
        <v>15407.7363327897</v>
      </c>
      <c r="W24" s="44" t="n">
        <f aca="false">SUM(W21:W23)</f>
        <v>12620.64174994</v>
      </c>
      <c r="X24" s="44" t="n">
        <f aca="false">SUM(X21:X23)</f>
        <v>17707.5659892347</v>
      </c>
      <c r="Y24" s="44" t="n">
        <f aca="false">SUM(Y21:Y23)</f>
        <v>18478.027349795</v>
      </c>
      <c r="Z24" s="44" t="n">
        <f aca="false">SUM(Z21:Z23)</f>
        <v>19002.4103899005</v>
      </c>
      <c r="AA24" s="44" t="n">
        <f aca="false">SUM(AA21:AA23)</f>
        <v>20453.2822145261</v>
      </c>
      <c r="AB24" s="44" t="n">
        <f aca="false">SUM(AB21:AB23)</f>
        <v>20621.4295201542</v>
      </c>
      <c r="AC24" s="44" t="n">
        <f aca="false">SUM(AC21:AC23)</f>
        <v>21983.6875691123</v>
      </c>
      <c r="AD24" s="44" t="n">
        <f aca="false">SUM(AD21:AD23)</f>
        <v>24557.4721278768</v>
      </c>
      <c r="AE24" s="44" t="n">
        <f aca="false">SUM(AE21:AE23)</f>
        <v>26476.3639087092</v>
      </c>
      <c r="AF24" s="44" t="n">
        <f aca="false">SUM(AF21:AF23)</f>
        <v>28707.1784371283</v>
      </c>
      <c r="AG24" s="44" t="n">
        <f aca="false">SUM(AG21:AG23)</f>
        <v>31003.046953388</v>
      </c>
      <c r="AH24" s="44" t="n">
        <f aca="false">SUM(AH21:AH23)</f>
        <v>31559.3078990266</v>
      </c>
      <c r="AI24" s="44" t="n">
        <f aca="false">SUM(AI21:AI23)</f>
        <v>25112.1943718387</v>
      </c>
      <c r="AJ24" s="44" t="n">
        <f aca="false">SUM(AJ21:AJ23)</f>
        <v>34343.3969604818</v>
      </c>
      <c r="AK24" s="44" t="n">
        <f aca="false">SUM(AK21:AK23)</f>
        <v>35030.2363418369</v>
      </c>
      <c r="AL24" s="44" t="n">
        <f aca="false">SUM(AL21:AL23)</f>
        <v>35296.2559936066</v>
      </c>
      <c r="AM24" s="44" t="n">
        <f aca="false">SUM(AM21:AM23)</f>
        <v>37298.480737237</v>
      </c>
      <c r="AO24" s="44" t="n">
        <f aca="false">SUMIF($D$4:$AM$4,AO$4,$D24:$AM24)</f>
        <v>43492.2493164585</v>
      </c>
      <c r="AP24" s="44" t="n">
        <f aca="false">SUMIF($D$4:$AM$4,AP$4,$D24:$AM24)</f>
        <v>168910.967568573</v>
      </c>
      <c r="AQ24" s="44" t="n">
        <f aca="false">SUMIF($D$4:$AM$4,AQ$4,$D24:$AM24)</f>
        <v>351989.050820397</v>
      </c>
    </row>
    <row r="25" customFormat="false" ht="15" hidden="false" customHeight="false" outlineLevel="0" collapsed="false">
      <c r="A25" s="11" t="s">
        <v>225</v>
      </c>
      <c r="B25" s="13" t="s">
        <v>71</v>
      </c>
      <c r="C25" s="50" t="n">
        <v>0</v>
      </c>
      <c r="D25" s="44" t="n">
        <f aca="false">D19-D24</f>
        <v>654.96</v>
      </c>
      <c r="E25" s="44" t="n">
        <f aca="false">E19-E24</f>
        <v>1957.02048</v>
      </c>
      <c r="F25" s="44" t="n">
        <f aca="false">F19-F24</f>
        <v>3388.7521392</v>
      </c>
      <c r="G25" s="44" t="n">
        <f aca="false">G19-G24</f>
        <v>4797.58005516979</v>
      </c>
      <c r="H25" s="44" t="n">
        <f aca="false">H19-H24</f>
        <v>6287.17243401852</v>
      </c>
      <c r="I25" s="44" t="n">
        <f aca="false">I19-I24</f>
        <v>7827.44460824693</v>
      </c>
      <c r="J25" s="44" t="n">
        <f aca="false">J19-J24</f>
        <v>8974.61828843258</v>
      </c>
      <c r="K25" s="44" t="n">
        <f aca="false">K19-K24</f>
        <v>8178.06649646129</v>
      </c>
      <c r="L25" s="44" t="n">
        <f aca="false">L19-L24</f>
        <v>11597.9524345437</v>
      </c>
      <c r="M25" s="44" t="n">
        <f aca="false">M19-M24</f>
        <v>12674.1423634726</v>
      </c>
      <c r="N25" s="44" t="n">
        <f aca="false">N19-N24</f>
        <v>13576.5951558795</v>
      </c>
      <c r="O25" s="44" t="n">
        <f aca="false">O19-O24</f>
        <v>15035.7975561694</v>
      </c>
      <c r="P25" s="44" t="n">
        <f aca="false">P19-P24</f>
        <v>16262.4419025585</v>
      </c>
      <c r="Q25" s="44" t="n">
        <f aca="false">Q19-Q24</f>
        <v>18739.5293997278</v>
      </c>
      <c r="R25" s="44" t="n">
        <f aca="false">R19-R24</f>
        <v>22135.9931764611</v>
      </c>
      <c r="S25" s="44" t="n">
        <f aca="false">S19-S24</f>
        <v>25085.2729837738</v>
      </c>
      <c r="T25" s="44" t="n">
        <f aca="false">T19-T24</f>
        <v>28322.7390770561</v>
      </c>
      <c r="U25" s="44" t="n">
        <f aca="false">U19-U24</f>
        <v>31656.62026735</v>
      </c>
      <c r="V25" s="44" t="n">
        <f aca="false">V19-V24</f>
        <v>33435.4343992339</v>
      </c>
      <c r="W25" s="44" t="n">
        <f aca="false">W19-W24</f>
        <v>28556.6197067009</v>
      </c>
      <c r="X25" s="44" t="n">
        <f aca="false">X19-X24</f>
        <v>38426.1612618058</v>
      </c>
      <c r="Y25" s="44" t="n">
        <f aca="false">Y19-Y24</f>
        <v>40204.4703248972</v>
      </c>
      <c r="Z25" s="44" t="n">
        <f aca="false">Z19-Z24</f>
        <v>41517.7184859799</v>
      </c>
      <c r="AA25" s="44" t="n">
        <f aca="false">AA19-AA24</f>
        <v>44562.8325553737</v>
      </c>
      <c r="AB25" s="44" t="n">
        <f aca="false">AB19-AB24</f>
        <v>45392.9269292203</v>
      </c>
      <c r="AC25" s="44" t="n">
        <f aca="false">AC19-AC24</f>
        <v>48391.5978028696</v>
      </c>
      <c r="AD25" s="44" t="n">
        <f aca="false">AD19-AD24</f>
        <v>53654.7834518075</v>
      </c>
      <c r="AE25" s="44" t="n">
        <f aca="false">AE19-AE24</f>
        <v>57685.6936292111</v>
      </c>
      <c r="AF25" s="44" t="n">
        <f aca="false">AF19-AF24</f>
        <v>62295.7818520716</v>
      </c>
      <c r="AG25" s="44" t="n">
        <f aca="false">AG19-AG24</f>
        <v>67022.5866396554</v>
      </c>
      <c r="AH25" s="44" t="n">
        <f aca="false">AH19-AH24</f>
        <v>68485.0224687142</v>
      </c>
      <c r="AI25" s="44" t="n">
        <f aca="false">AI19-AI24</f>
        <v>56821.1505314904</v>
      </c>
      <c r="AJ25" s="44" t="n">
        <f aca="false">AJ19-AJ24</f>
        <v>74526.6125612061</v>
      </c>
      <c r="AK25" s="44" t="n">
        <f aca="false">AK19-AK24</f>
        <v>76218.7473163978</v>
      </c>
      <c r="AL25" s="44" t="n">
        <f aca="false">AL19-AL24</f>
        <v>77117.5861316252</v>
      </c>
      <c r="AM25" s="44" t="n">
        <f aca="false">AM19-AM24</f>
        <v>81264.5097363819</v>
      </c>
      <c r="AO25" s="44" t="n">
        <f aca="false">SUMIF($D$4:$AM$4,AO$4,$D25:$AM25)</f>
        <v>94950.1020115943</v>
      </c>
      <c r="AP25" s="44" t="n">
        <f aca="false">SUMIF($D$4:$AM$4,AP$4,$D25:$AM25)</f>
        <v>368905.833540919</v>
      </c>
      <c r="AQ25" s="44" t="n">
        <f aca="false">SUMIF($D$4:$AM$4,AQ$4,$D25:$AM25)</f>
        <v>768876.999050651</v>
      </c>
    </row>
    <row r="26" customFormat="false" ht="15" hidden="false" customHeight="false" outlineLevel="0" collapsed="false">
      <c r="A26" s="10" t="s">
        <v>266</v>
      </c>
      <c r="B26" s="13" t="s">
        <v>66</v>
      </c>
      <c r="C26" s="58" t="n">
        <v>0</v>
      </c>
      <c r="D26" s="41" t="n">
        <f aca="false">IF(D19=0,0,D25/D19)</f>
        <v>0.687622047244095</v>
      </c>
      <c r="E26" s="41" t="n">
        <f aca="false">IF(E19=0,0,E25/E19)</f>
        <v>0.687622047244095</v>
      </c>
      <c r="F26" s="41" t="n">
        <f aca="false">IF(F19=0,0,F25/F19)</f>
        <v>0.686015037593985</v>
      </c>
      <c r="G26" s="41" t="n">
        <f aca="false">IF(G19=0,0,G25/G19)</f>
        <v>0.685412112259971</v>
      </c>
      <c r="H26" s="41" t="n">
        <f aca="false">IF(H19=0,0,H25/H19)</f>
        <v>0.684546762589928</v>
      </c>
      <c r="I26" s="41" t="n">
        <f aca="false">IF(I19=0,0,I25/I19)</f>
        <v>0.683725105189341</v>
      </c>
      <c r="J26" s="41" t="n">
        <f aca="false">IF(J19=0,0,J25/J19)</f>
        <v>0.684546762589928</v>
      </c>
      <c r="K26" s="41" t="n">
        <f aca="false">IF(K19=0,0,K25/K19)</f>
        <v>0.693504587155963</v>
      </c>
      <c r="L26" s="41" t="n">
        <f aca="false">IF(L19=0,0,L25/L19)</f>
        <v>0.684546762589928</v>
      </c>
      <c r="M26" s="41" t="n">
        <f aca="false">IF(M19=0,0,M25/M19)</f>
        <v>0.68511859443631</v>
      </c>
      <c r="N26" s="41" t="n">
        <f aca="false">IF(N19=0,0,N25/N19)</f>
        <v>0.686015037593985</v>
      </c>
      <c r="O26" s="41" t="n">
        <f aca="false">IF(O19=0,0,O25/O19)</f>
        <v>0.685412112259971</v>
      </c>
      <c r="P26" s="41" t="n">
        <f aca="false">IF(P19=0,0,P25/P19)</f>
        <v>0.687622047244095</v>
      </c>
      <c r="Q26" s="41" t="n">
        <f aca="false">IF(Q19=0,0,Q25/Q19)</f>
        <v>0.687622047244095</v>
      </c>
      <c r="R26" s="41" t="n">
        <f aca="false">IF(R19=0,0,R25/R19)</f>
        <v>0.686015037593985</v>
      </c>
      <c r="S26" s="41" t="n">
        <f aca="false">IF(S19=0,0,S25/S19)</f>
        <v>0.68541211225997</v>
      </c>
      <c r="T26" s="41" t="n">
        <f aca="false">IF(T19=0,0,T25/T19)</f>
        <v>0.684546762589928</v>
      </c>
      <c r="U26" s="41" t="n">
        <f aca="false">IF(U19=0,0,U25/U19)</f>
        <v>0.683725105189341</v>
      </c>
      <c r="V26" s="41" t="n">
        <f aca="false">IF(V19=0,0,V25/V19)</f>
        <v>0.684546762589928</v>
      </c>
      <c r="W26" s="41" t="n">
        <f aca="false">IF(W19=0,0,W25/W19)</f>
        <v>0.693504587155963</v>
      </c>
      <c r="X26" s="41" t="n">
        <f aca="false">IF(X19=0,0,X25/X19)</f>
        <v>0.684546762589928</v>
      </c>
      <c r="Y26" s="41" t="n">
        <f aca="false">IF(Y19=0,0,Y25/Y19)</f>
        <v>0.68511859443631</v>
      </c>
      <c r="Z26" s="41" t="n">
        <f aca="false">IF(Z19=0,0,Z25/Z19)</f>
        <v>0.686015037593985</v>
      </c>
      <c r="AA26" s="41" t="n">
        <f aca="false">IF(AA19=0,0,AA25/AA19)</f>
        <v>0.685412112259971</v>
      </c>
      <c r="AB26" s="41" t="n">
        <f aca="false">IF(AB19=0,0,AB25/AB19)</f>
        <v>0.687622047244095</v>
      </c>
      <c r="AC26" s="41" t="n">
        <f aca="false">IF(AC19=0,0,AC25/AC19)</f>
        <v>0.687622047244095</v>
      </c>
      <c r="AD26" s="41" t="n">
        <f aca="false">IF(AD19=0,0,AD25/AD19)</f>
        <v>0.686015037593985</v>
      </c>
      <c r="AE26" s="41" t="n">
        <f aca="false">IF(AE19=0,0,AE25/AE19)</f>
        <v>0.685412112259971</v>
      </c>
      <c r="AF26" s="41" t="n">
        <f aca="false">IF(AF19=0,0,AF25/AF19)</f>
        <v>0.684546762589928</v>
      </c>
      <c r="AG26" s="41" t="n">
        <f aca="false">IF(AG19=0,0,AG25/AG19)</f>
        <v>0.683725105189341</v>
      </c>
      <c r="AH26" s="41" t="n">
        <f aca="false">IF(AH19=0,0,AH25/AH19)</f>
        <v>0.684546762589928</v>
      </c>
      <c r="AI26" s="41" t="n">
        <f aca="false">IF(AI19=0,0,AI25/AI19)</f>
        <v>0.693504587155963</v>
      </c>
      <c r="AJ26" s="41" t="n">
        <f aca="false">IF(AJ19=0,0,AJ25/AJ19)</f>
        <v>0.684546762589928</v>
      </c>
      <c r="AK26" s="41" t="n">
        <f aca="false">IF(AK19=0,0,AK25/AK19)</f>
        <v>0.68511859443631</v>
      </c>
      <c r="AL26" s="41" t="n">
        <f aca="false">IF(AL19=0,0,AL25/AL19)</f>
        <v>0.686015037593985</v>
      </c>
      <c r="AM26" s="41" t="n">
        <f aca="false">IF(AM19=0,0,AM25/AM19)</f>
        <v>0.68541211225997</v>
      </c>
      <c r="AO26" s="41" t="n">
        <f aca="false">IF(AO19=0,0,AO25/AO19)</f>
        <v>0.685845776966043</v>
      </c>
      <c r="AP26" s="41" t="n">
        <f aca="false">IF(AP19=0,0,AP25/AP19)</f>
        <v>0.685932147861284</v>
      </c>
      <c r="AQ26" s="41" t="n">
        <f aca="false">IF(AQ19=0,0,AQ25/AQ19)</f>
        <v>0.685966890637028</v>
      </c>
    </row>
    <row r="27" customFormat="false" ht="15" hidden="false" customHeight="false" outlineLevel="0" collapsed="false">
      <c r="A27" s="5" t="s">
        <v>397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</row>
    <row r="28" customFormat="false" ht="15" hidden="false" customHeight="false" outlineLevel="0" collapsed="false">
      <c r="A28" s="10" t="s">
        <v>398</v>
      </c>
      <c r="B28" s="13" t="s">
        <v>366</v>
      </c>
      <c r="C28" s="50" t="n">
        <v>0</v>
      </c>
      <c r="D28" s="45" t="n">
        <f aca="false">MAX(1,ROUNDUP(D13/cap_operateur,0))</f>
        <v>1</v>
      </c>
      <c r="E28" s="45" t="n">
        <f aca="false">MAX(1,ROUNDUP(E13/cap_operateur,0))</f>
        <v>1</v>
      </c>
      <c r="F28" s="45" t="n">
        <f aca="false">MAX(1,ROUNDUP(F13/cap_operateur,0))</f>
        <v>1</v>
      </c>
      <c r="G28" s="45" t="n">
        <f aca="false">MAX(1,ROUNDUP(G13/cap_operateur,0))</f>
        <v>1</v>
      </c>
      <c r="H28" s="45" t="n">
        <f aca="false">MAX(1,ROUNDUP(H13/cap_operateur,0))</f>
        <v>1</v>
      </c>
      <c r="I28" s="45" t="n">
        <f aca="false">MAX(1,ROUNDUP(I13/cap_operateur,0))</f>
        <v>1</v>
      </c>
      <c r="J28" s="45" t="n">
        <f aca="false">MAX(1,ROUNDUP(J13/cap_operateur,0))</f>
        <v>1</v>
      </c>
      <c r="K28" s="45" t="n">
        <f aca="false">MAX(1,ROUNDUP(K13/cap_operateur,0))</f>
        <v>1</v>
      </c>
      <c r="L28" s="45" t="n">
        <f aca="false">MAX(1,ROUNDUP(L13/cap_operateur,0))</f>
        <v>1</v>
      </c>
      <c r="M28" s="45" t="n">
        <f aca="false">MAX(1,ROUNDUP(M13/cap_operateur,0))</f>
        <v>1</v>
      </c>
      <c r="N28" s="45" t="n">
        <f aca="false">MAX(1,ROUNDUP(N13/cap_operateur,0))</f>
        <v>1</v>
      </c>
      <c r="O28" s="45" t="n">
        <f aca="false">MAX(1,ROUNDUP(O13/cap_operateur,0))</f>
        <v>1</v>
      </c>
      <c r="P28" s="45" t="n">
        <f aca="false">MAX(1,ROUNDUP(P13/cap_operateur,0))</f>
        <v>1</v>
      </c>
      <c r="Q28" s="45" t="n">
        <f aca="false">MAX(1,ROUNDUP(Q13/cap_operateur,0))</f>
        <v>1</v>
      </c>
      <c r="R28" s="45" t="n">
        <f aca="false">MAX(1,ROUNDUP(R13/cap_operateur,0))</f>
        <v>1</v>
      </c>
      <c r="S28" s="45" t="n">
        <f aca="false">MAX(1,ROUNDUP(S13/cap_operateur,0))</f>
        <v>2</v>
      </c>
      <c r="T28" s="45" t="n">
        <f aca="false">MAX(1,ROUNDUP(T13/cap_operateur,0))</f>
        <v>2</v>
      </c>
      <c r="U28" s="45" t="n">
        <f aca="false">MAX(1,ROUNDUP(U13/cap_operateur,0))</f>
        <v>2</v>
      </c>
      <c r="V28" s="45" t="n">
        <f aca="false">MAX(1,ROUNDUP(V13/cap_operateur,0))</f>
        <v>2</v>
      </c>
      <c r="W28" s="45" t="n">
        <f aca="false">MAX(1,ROUNDUP(W13/cap_operateur,0))</f>
        <v>2</v>
      </c>
      <c r="X28" s="45" t="n">
        <f aca="false">MAX(1,ROUNDUP(X13/cap_operateur,0))</f>
        <v>2</v>
      </c>
      <c r="Y28" s="45" t="n">
        <f aca="false">MAX(1,ROUNDUP(Y13/cap_operateur,0))</f>
        <v>2</v>
      </c>
      <c r="Z28" s="45" t="n">
        <f aca="false">MAX(1,ROUNDUP(Z13/cap_operateur,0))</f>
        <v>2</v>
      </c>
      <c r="AA28" s="45" t="n">
        <f aca="false">MAX(1,ROUNDUP(AA13/cap_operateur,0))</f>
        <v>2</v>
      </c>
      <c r="AB28" s="45" t="n">
        <f aca="false">MAX(1,ROUNDUP(AB13/cap_operateur,0))</f>
        <v>2</v>
      </c>
      <c r="AC28" s="45" t="n">
        <f aca="false">MAX(1,ROUNDUP(AC13/cap_operateur,0))</f>
        <v>3</v>
      </c>
      <c r="AD28" s="45" t="n">
        <f aca="false">MAX(1,ROUNDUP(AD13/cap_operateur,0))</f>
        <v>3</v>
      </c>
      <c r="AE28" s="45" t="n">
        <f aca="false">MAX(1,ROUNDUP(AE13/cap_operateur,0))</f>
        <v>3</v>
      </c>
      <c r="AF28" s="45" t="n">
        <f aca="false">MAX(1,ROUNDUP(AF13/cap_operateur,0))</f>
        <v>3</v>
      </c>
      <c r="AG28" s="45" t="n">
        <f aca="false">MAX(1,ROUNDUP(AG13/cap_operateur,0))</f>
        <v>3</v>
      </c>
      <c r="AH28" s="45" t="n">
        <f aca="false">MAX(1,ROUNDUP(AH13/cap_operateur,0))</f>
        <v>3</v>
      </c>
      <c r="AI28" s="45" t="n">
        <f aca="false">MAX(1,ROUNDUP(AI13/cap_operateur,0))</f>
        <v>3</v>
      </c>
      <c r="AJ28" s="45" t="n">
        <f aca="false">MAX(1,ROUNDUP(AJ13/cap_operateur,0))</f>
        <v>4</v>
      </c>
      <c r="AK28" s="45" t="n">
        <f aca="false">MAX(1,ROUNDUP(AK13/cap_operateur,0))</f>
        <v>4</v>
      </c>
      <c r="AL28" s="45" t="n">
        <f aca="false">MAX(1,ROUNDUP(AL13/cap_operateur,0))</f>
        <v>4</v>
      </c>
      <c r="AM28" s="45" t="n">
        <f aca="false">MAX(1,ROUNDUP(AM13/cap_operateur,0))</f>
        <v>4</v>
      </c>
      <c r="AO28" s="45" t="n">
        <f aca="false">INDEX($D28:$AM28,(AO$4-annee_debut)*12+12)</f>
        <v>1</v>
      </c>
      <c r="AP28" s="45" t="n">
        <f aca="false">INDEX($D28:$AM28,(AP$4-annee_debut)*12+12)</f>
        <v>2</v>
      </c>
      <c r="AQ28" s="45" t="n">
        <f aca="false">INDEX($D28:$AM28,(AQ$4-annee_debut)*12+12)</f>
        <v>4</v>
      </c>
    </row>
    <row r="29" customFormat="false" ht="15" hidden="false" customHeight="false" outlineLevel="0" collapsed="false">
      <c r="A29" s="10" t="s">
        <v>399</v>
      </c>
      <c r="B29" s="13" t="s">
        <v>366</v>
      </c>
      <c r="C29" s="50" t="n">
        <v>0</v>
      </c>
      <c r="D29" s="45" t="n">
        <f aca="false">MAX(1,ROUNDUP(D13/cap_chauffeur,0))</f>
        <v>1</v>
      </c>
      <c r="E29" s="45" t="n">
        <f aca="false">MAX(1,ROUNDUP(E13/cap_chauffeur,0))</f>
        <v>1</v>
      </c>
      <c r="F29" s="45" t="n">
        <f aca="false">MAX(1,ROUNDUP(F13/cap_chauffeur,0))</f>
        <v>1</v>
      </c>
      <c r="G29" s="45" t="n">
        <f aca="false">MAX(1,ROUNDUP(G13/cap_chauffeur,0))</f>
        <v>1</v>
      </c>
      <c r="H29" s="45" t="n">
        <f aca="false">MAX(1,ROUNDUP(H13/cap_chauffeur,0))</f>
        <v>1</v>
      </c>
      <c r="I29" s="45" t="n">
        <f aca="false">MAX(1,ROUNDUP(I13/cap_chauffeur,0))</f>
        <v>1</v>
      </c>
      <c r="J29" s="45" t="n">
        <f aca="false">MAX(1,ROUNDUP(J13/cap_chauffeur,0))</f>
        <v>1</v>
      </c>
      <c r="K29" s="45" t="n">
        <f aca="false">MAX(1,ROUNDUP(K13/cap_chauffeur,0))</f>
        <v>1</v>
      </c>
      <c r="L29" s="45" t="n">
        <f aca="false">MAX(1,ROUNDUP(L13/cap_chauffeur,0))</f>
        <v>1</v>
      </c>
      <c r="M29" s="45" t="n">
        <f aca="false">MAX(1,ROUNDUP(M13/cap_chauffeur,0))</f>
        <v>1</v>
      </c>
      <c r="N29" s="45" t="n">
        <f aca="false">MAX(1,ROUNDUP(N13/cap_chauffeur,0))</f>
        <v>1</v>
      </c>
      <c r="O29" s="45" t="n">
        <f aca="false">MAX(1,ROUNDUP(O13/cap_chauffeur,0))</f>
        <v>1</v>
      </c>
      <c r="P29" s="45" t="n">
        <f aca="false">MAX(1,ROUNDUP(P13/cap_chauffeur,0))</f>
        <v>1</v>
      </c>
      <c r="Q29" s="45" t="n">
        <f aca="false">MAX(1,ROUNDUP(Q13/cap_chauffeur,0))</f>
        <v>2</v>
      </c>
      <c r="R29" s="45" t="n">
        <f aca="false">MAX(1,ROUNDUP(R13/cap_chauffeur,0))</f>
        <v>2</v>
      </c>
      <c r="S29" s="45" t="n">
        <f aca="false">MAX(1,ROUNDUP(S13/cap_chauffeur,0))</f>
        <v>2</v>
      </c>
      <c r="T29" s="45" t="n">
        <f aca="false">MAX(1,ROUNDUP(T13/cap_chauffeur,0))</f>
        <v>2</v>
      </c>
      <c r="U29" s="45" t="n">
        <f aca="false">MAX(1,ROUNDUP(U13/cap_chauffeur,0))</f>
        <v>2</v>
      </c>
      <c r="V29" s="45" t="n">
        <f aca="false">MAX(1,ROUNDUP(V13/cap_chauffeur,0))</f>
        <v>2</v>
      </c>
      <c r="W29" s="45" t="n">
        <f aca="false">MAX(1,ROUNDUP(W13/cap_chauffeur,0))</f>
        <v>2</v>
      </c>
      <c r="X29" s="45" t="n">
        <f aca="false">MAX(1,ROUNDUP(X13/cap_chauffeur,0))</f>
        <v>3</v>
      </c>
      <c r="Y29" s="45" t="n">
        <f aca="false">MAX(1,ROUNDUP(Y13/cap_chauffeur,0))</f>
        <v>3</v>
      </c>
      <c r="Z29" s="45" t="n">
        <f aca="false">MAX(1,ROUNDUP(Z13/cap_chauffeur,0))</f>
        <v>3</v>
      </c>
      <c r="AA29" s="45" t="n">
        <f aca="false">MAX(1,ROUNDUP(AA13/cap_chauffeur,0))</f>
        <v>3</v>
      </c>
      <c r="AB29" s="45" t="n">
        <f aca="false">MAX(1,ROUNDUP(AB13/cap_chauffeur,0))</f>
        <v>3</v>
      </c>
      <c r="AC29" s="45" t="n">
        <f aca="false">MAX(1,ROUNDUP(AC13/cap_chauffeur,0))</f>
        <v>3</v>
      </c>
      <c r="AD29" s="45" t="n">
        <f aca="false">MAX(1,ROUNDUP(AD13/cap_chauffeur,0))</f>
        <v>4</v>
      </c>
      <c r="AE29" s="45" t="n">
        <f aca="false">MAX(1,ROUNDUP(AE13/cap_chauffeur,0))</f>
        <v>4</v>
      </c>
      <c r="AF29" s="45" t="n">
        <f aca="false">MAX(1,ROUNDUP(AF13/cap_chauffeur,0))</f>
        <v>4</v>
      </c>
      <c r="AG29" s="45" t="n">
        <f aca="false">MAX(1,ROUNDUP(AG13/cap_chauffeur,0))</f>
        <v>4</v>
      </c>
      <c r="AH29" s="45" t="n">
        <f aca="false">MAX(1,ROUNDUP(AH13/cap_chauffeur,0))</f>
        <v>4</v>
      </c>
      <c r="AI29" s="45" t="n">
        <f aca="false">MAX(1,ROUNDUP(AI13/cap_chauffeur,0))</f>
        <v>4</v>
      </c>
      <c r="AJ29" s="45" t="n">
        <f aca="false">MAX(1,ROUNDUP(AJ13/cap_chauffeur,0))</f>
        <v>5</v>
      </c>
      <c r="AK29" s="45" t="n">
        <f aca="false">MAX(1,ROUNDUP(AK13/cap_chauffeur,0))</f>
        <v>5</v>
      </c>
      <c r="AL29" s="45" t="n">
        <f aca="false">MAX(1,ROUNDUP(AL13/cap_chauffeur,0))</f>
        <v>5</v>
      </c>
      <c r="AM29" s="45" t="n">
        <f aca="false">MAX(1,ROUNDUP(AM13/cap_chauffeur,0))</f>
        <v>5</v>
      </c>
      <c r="AO29" s="45" t="n">
        <f aca="false">INDEX($D29:$AM29,(AO$4-annee_debut)*12+12)</f>
        <v>1</v>
      </c>
      <c r="AP29" s="45" t="n">
        <f aca="false">INDEX($D29:$AM29,(AP$4-annee_debut)*12+12)</f>
        <v>3</v>
      </c>
      <c r="AQ29" s="45" t="n">
        <f aca="false">INDEX($D29:$AM29,(AQ$4-annee_debut)*12+12)</f>
        <v>5</v>
      </c>
    </row>
    <row r="30" customFormat="false" ht="15" hidden="false" customHeight="false" outlineLevel="0" collapsed="false">
      <c r="A30" s="10" t="s">
        <v>400</v>
      </c>
      <c r="B30" s="13" t="s">
        <v>366</v>
      </c>
      <c r="C30" s="50" t="n">
        <v>0</v>
      </c>
      <c r="D30" s="45" t="n">
        <f aca="false">IF(D$6&gt;=embauche_com1,1,0)+IF(AND(embauche_com2_c&gt;0,D$6&gt;=embauche_com2_c),1,0)</f>
        <v>0</v>
      </c>
      <c r="E30" s="45" t="n">
        <f aca="false">IF(E$6&gt;=embauche_com1,1,0)+IF(AND(embauche_com2_c&gt;0,E$6&gt;=embauche_com2_c),1,0)</f>
        <v>0</v>
      </c>
      <c r="F30" s="45" t="n">
        <f aca="false">IF(F$6&gt;=embauche_com1,1,0)+IF(AND(embauche_com2_c&gt;0,F$6&gt;=embauche_com2_c),1,0)</f>
        <v>0</v>
      </c>
      <c r="G30" s="45" t="n">
        <f aca="false">IF(G$6&gt;=embauche_com1,1,0)+IF(AND(embauche_com2_c&gt;0,G$6&gt;=embauche_com2_c),1,0)</f>
        <v>1</v>
      </c>
      <c r="H30" s="45" t="n">
        <f aca="false">IF(H$6&gt;=embauche_com1,1,0)+IF(AND(embauche_com2_c&gt;0,H$6&gt;=embauche_com2_c),1,0)</f>
        <v>1</v>
      </c>
      <c r="I30" s="45" t="n">
        <f aca="false">IF(I$6&gt;=embauche_com1,1,0)+IF(AND(embauche_com2_c&gt;0,I$6&gt;=embauche_com2_c),1,0)</f>
        <v>1</v>
      </c>
      <c r="J30" s="45" t="n">
        <f aca="false">IF(J$6&gt;=embauche_com1,1,0)+IF(AND(embauche_com2_c&gt;0,J$6&gt;=embauche_com2_c),1,0)</f>
        <v>1</v>
      </c>
      <c r="K30" s="45" t="n">
        <f aca="false">IF(K$6&gt;=embauche_com1,1,0)+IF(AND(embauche_com2_c&gt;0,K$6&gt;=embauche_com2_c),1,0)</f>
        <v>1</v>
      </c>
      <c r="L30" s="45" t="n">
        <f aca="false">IF(L$6&gt;=embauche_com1,1,0)+IF(AND(embauche_com2_c&gt;0,L$6&gt;=embauche_com2_c),1,0)</f>
        <v>1</v>
      </c>
      <c r="M30" s="45" t="n">
        <f aca="false">IF(M$6&gt;=embauche_com1,1,0)+IF(AND(embauche_com2_c&gt;0,M$6&gt;=embauche_com2_c),1,0)</f>
        <v>1</v>
      </c>
      <c r="N30" s="45" t="n">
        <f aca="false">IF(N$6&gt;=embauche_com1,1,0)+IF(AND(embauche_com2_c&gt;0,N$6&gt;=embauche_com2_c),1,0)</f>
        <v>1</v>
      </c>
      <c r="O30" s="45" t="n">
        <f aca="false">IF(O$6&gt;=embauche_com1,1,0)+IF(AND(embauche_com2_c&gt;0,O$6&gt;=embauche_com2_c),1,0)</f>
        <v>1</v>
      </c>
      <c r="P30" s="45" t="n">
        <f aca="false">IF(P$6&gt;=embauche_com1,1,0)+IF(AND(embauche_com2_c&gt;0,P$6&gt;=embauche_com2_c),1,0)</f>
        <v>1</v>
      </c>
      <c r="Q30" s="45" t="n">
        <f aca="false">IF(Q$6&gt;=embauche_com1,1,0)+IF(AND(embauche_com2_c&gt;0,Q$6&gt;=embauche_com2_c),1,0)</f>
        <v>1</v>
      </c>
      <c r="R30" s="45" t="n">
        <f aca="false">IF(R$6&gt;=embauche_com1,1,0)+IF(AND(embauche_com2_c&gt;0,R$6&gt;=embauche_com2_c),1,0)</f>
        <v>1</v>
      </c>
      <c r="S30" s="45" t="n">
        <f aca="false">IF(S$6&gt;=embauche_com1,1,0)+IF(AND(embauche_com2_c&gt;0,S$6&gt;=embauche_com2_c),1,0)</f>
        <v>1</v>
      </c>
      <c r="T30" s="45" t="n">
        <f aca="false">IF(T$6&gt;=embauche_com1,1,0)+IF(AND(embauche_com2_c&gt;0,T$6&gt;=embauche_com2_c),1,0)</f>
        <v>1</v>
      </c>
      <c r="U30" s="45" t="n">
        <f aca="false">IF(U$6&gt;=embauche_com1,1,0)+IF(AND(embauche_com2_c&gt;0,U$6&gt;=embauche_com2_c),1,0)</f>
        <v>1</v>
      </c>
      <c r="V30" s="45" t="n">
        <f aca="false">IF(V$6&gt;=embauche_com1,1,0)+IF(AND(embauche_com2_c&gt;0,V$6&gt;=embauche_com2_c),1,0)</f>
        <v>1</v>
      </c>
      <c r="W30" s="45" t="n">
        <f aca="false">IF(W$6&gt;=embauche_com1,1,0)+IF(AND(embauche_com2_c&gt;0,W$6&gt;=embauche_com2_c),1,0)</f>
        <v>1</v>
      </c>
      <c r="X30" s="45" t="n">
        <f aca="false">IF(X$6&gt;=embauche_com1,1,0)+IF(AND(embauche_com2_c&gt;0,X$6&gt;=embauche_com2_c),1,0)</f>
        <v>1</v>
      </c>
      <c r="Y30" s="45" t="n">
        <f aca="false">IF(Y$6&gt;=embauche_com1,1,0)+IF(AND(embauche_com2_c&gt;0,Y$6&gt;=embauche_com2_c),1,0)</f>
        <v>1</v>
      </c>
      <c r="Z30" s="45" t="n">
        <f aca="false">IF(Z$6&gt;=embauche_com1,1,0)+IF(AND(embauche_com2_c&gt;0,Z$6&gt;=embauche_com2_c),1,0)</f>
        <v>1</v>
      </c>
      <c r="AA30" s="45" t="n">
        <f aca="false">IF(AA$6&gt;=embauche_com1,1,0)+IF(AND(embauche_com2_c&gt;0,AA$6&gt;=embauche_com2_c),1,0)</f>
        <v>1</v>
      </c>
      <c r="AB30" s="45" t="n">
        <f aca="false">IF(AB$6&gt;=embauche_com1,1,0)+IF(AND(embauche_com2_c&gt;0,AB$6&gt;=embauche_com2_c),1,0)</f>
        <v>2</v>
      </c>
      <c r="AC30" s="45" t="n">
        <f aca="false">IF(AC$6&gt;=embauche_com1,1,0)+IF(AND(embauche_com2_c&gt;0,AC$6&gt;=embauche_com2_c),1,0)</f>
        <v>2</v>
      </c>
      <c r="AD30" s="45" t="n">
        <f aca="false">IF(AD$6&gt;=embauche_com1,1,0)+IF(AND(embauche_com2_c&gt;0,AD$6&gt;=embauche_com2_c),1,0)</f>
        <v>2</v>
      </c>
      <c r="AE30" s="45" t="n">
        <f aca="false">IF(AE$6&gt;=embauche_com1,1,0)+IF(AND(embauche_com2_c&gt;0,AE$6&gt;=embauche_com2_c),1,0)</f>
        <v>2</v>
      </c>
      <c r="AF30" s="45" t="n">
        <f aca="false">IF(AF$6&gt;=embauche_com1,1,0)+IF(AND(embauche_com2_c&gt;0,AF$6&gt;=embauche_com2_c),1,0)</f>
        <v>2</v>
      </c>
      <c r="AG30" s="45" t="n">
        <f aca="false">IF(AG$6&gt;=embauche_com1,1,0)+IF(AND(embauche_com2_c&gt;0,AG$6&gt;=embauche_com2_c),1,0)</f>
        <v>2</v>
      </c>
      <c r="AH30" s="45" t="n">
        <f aca="false">IF(AH$6&gt;=embauche_com1,1,0)+IF(AND(embauche_com2_c&gt;0,AH$6&gt;=embauche_com2_c),1,0)</f>
        <v>2</v>
      </c>
      <c r="AI30" s="45" t="n">
        <f aca="false">IF(AI$6&gt;=embauche_com1,1,0)+IF(AND(embauche_com2_c&gt;0,AI$6&gt;=embauche_com2_c),1,0)</f>
        <v>2</v>
      </c>
      <c r="AJ30" s="45" t="n">
        <f aca="false">IF(AJ$6&gt;=embauche_com1,1,0)+IF(AND(embauche_com2_c&gt;0,AJ$6&gt;=embauche_com2_c),1,0)</f>
        <v>2</v>
      </c>
      <c r="AK30" s="45" t="n">
        <f aca="false">IF(AK$6&gt;=embauche_com1,1,0)+IF(AND(embauche_com2_c&gt;0,AK$6&gt;=embauche_com2_c),1,0)</f>
        <v>2</v>
      </c>
      <c r="AL30" s="45" t="n">
        <f aca="false">IF(AL$6&gt;=embauche_com1,1,0)+IF(AND(embauche_com2_c&gt;0,AL$6&gt;=embauche_com2_c),1,0)</f>
        <v>2</v>
      </c>
      <c r="AM30" s="45" t="n">
        <f aca="false">IF(AM$6&gt;=embauche_com1,1,0)+IF(AND(embauche_com2_c&gt;0,AM$6&gt;=embauche_com2_c),1,0)</f>
        <v>2</v>
      </c>
      <c r="AO30" s="45" t="n">
        <f aca="false">INDEX($D30:$AM30,(AO$4-annee_debut)*12+12)</f>
        <v>1</v>
      </c>
      <c r="AP30" s="45" t="n">
        <f aca="false">INDEX($D30:$AM30,(AP$4-annee_debut)*12+12)</f>
        <v>1</v>
      </c>
      <c r="AQ30" s="45" t="n">
        <f aca="false">INDEX($D30:$AM30,(AQ$4-annee_debut)*12+12)</f>
        <v>2</v>
      </c>
    </row>
    <row r="31" customFormat="false" ht="15" hidden="false" customHeight="false" outlineLevel="0" collapsed="false">
      <c r="A31" s="10" t="s">
        <v>401</v>
      </c>
      <c r="B31" s="13" t="s">
        <v>366</v>
      </c>
      <c r="C31" s="50" t="n">
        <v>0</v>
      </c>
      <c r="D31" s="45" t="n">
        <f aca="false">IF(D$6&gt;=embauche_resp,1,0)</f>
        <v>0</v>
      </c>
      <c r="E31" s="45" t="n">
        <f aca="false">IF(E$6&gt;=embauche_resp,1,0)</f>
        <v>0</v>
      </c>
      <c r="F31" s="45" t="n">
        <f aca="false">IF(F$6&gt;=embauche_resp,1,0)</f>
        <v>0</v>
      </c>
      <c r="G31" s="45" t="n">
        <f aca="false">IF(G$6&gt;=embauche_resp,1,0)</f>
        <v>0</v>
      </c>
      <c r="H31" s="45" t="n">
        <f aca="false">IF(H$6&gt;=embauche_resp,1,0)</f>
        <v>0</v>
      </c>
      <c r="I31" s="45" t="n">
        <f aca="false">IF(I$6&gt;=embauche_resp,1,0)</f>
        <v>0</v>
      </c>
      <c r="J31" s="45" t="n">
        <f aca="false">IF(J$6&gt;=embauche_resp,1,0)</f>
        <v>0</v>
      </c>
      <c r="K31" s="45" t="n">
        <f aca="false">IF(K$6&gt;=embauche_resp,1,0)</f>
        <v>0</v>
      </c>
      <c r="L31" s="45" t="n">
        <f aca="false">IF(L$6&gt;=embauche_resp,1,0)</f>
        <v>0</v>
      </c>
      <c r="M31" s="45" t="n">
        <f aca="false">IF(M$6&gt;=embauche_resp,1,0)</f>
        <v>0</v>
      </c>
      <c r="N31" s="45" t="n">
        <f aca="false">IF(N$6&gt;=embauche_resp,1,0)</f>
        <v>0</v>
      </c>
      <c r="O31" s="45" t="n">
        <f aca="false">IF(O$6&gt;=embauche_resp,1,0)</f>
        <v>0</v>
      </c>
      <c r="P31" s="45" t="n">
        <f aca="false">IF(P$6&gt;=embauche_resp,1,0)</f>
        <v>1</v>
      </c>
      <c r="Q31" s="45" t="n">
        <f aca="false">IF(Q$6&gt;=embauche_resp,1,0)</f>
        <v>1</v>
      </c>
      <c r="R31" s="45" t="n">
        <f aca="false">IF(R$6&gt;=embauche_resp,1,0)</f>
        <v>1</v>
      </c>
      <c r="S31" s="45" t="n">
        <f aca="false">IF(S$6&gt;=embauche_resp,1,0)</f>
        <v>1</v>
      </c>
      <c r="T31" s="45" t="n">
        <f aca="false">IF(T$6&gt;=embauche_resp,1,0)</f>
        <v>1</v>
      </c>
      <c r="U31" s="45" t="n">
        <f aca="false">IF(U$6&gt;=embauche_resp,1,0)</f>
        <v>1</v>
      </c>
      <c r="V31" s="45" t="n">
        <f aca="false">IF(V$6&gt;=embauche_resp,1,0)</f>
        <v>1</v>
      </c>
      <c r="W31" s="45" t="n">
        <f aca="false">IF(W$6&gt;=embauche_resp,1,0)</f>
        <v>1</v>
      </c>
      <c r="X31" s="45" t="n">
        <f aca="false">IF(X$6&gt;=embauche_resp,1,0)</f>
        <v>1</v>
      </c>
      <c r="Y31" s="45" t="n">
        <f aca="false">IF(Y$6&gt;=embauche_resp,1,0)</f>
        <v>1</v>
      </c>
      <c r="Z31" s="45" t="n">
        <f aca="false">IF(Z$6&gt;=embauche_resp,1,0)</f>
        <v>1</v>
      </c>
      <c r="AA31" s="45" t="n">
        <f aca="false">IF(AA$6&gt;=embauche_resp,1,0)</f>
        <v>1</v>
      </c>
      <c r="AB31" s="45" t="n">
        <f aca="false">IF(AB$6&gt;=embauche_resp,1,0)</f>
        <v>1</v>
      </c>
      <c r="AC31" s="45" t="n">
        <f aca="false">IF(AC$6&gt;=embauche_resp,1,0)</f>
        <v>1</v>
      </c>
      <c r="AD31" s="45" t="n">
        <f aca="false">IF(AD$6&gt;=embauche_resp,1,0)</f>
        <v>1</v>
      </c>
      <c r="AE31" s="45" t="n">
        <f aca="false">IF(AE$6&gt;=embauche_resp,1,0)</f>
        <v>1</v>
      </c>
      <c r="AF31" s="45" t="n">
        <f aca="false">IF(AF$6&gt;=embauche_resp,1,0)</f>
        <v>1</v>
      </c>
      <c r="AG31" s="45" t="n">
        <f aca="false">IF(AG$6&gt;=embauche_resp,1,0)</f>
        <v>1</v>
      </c>
      <c r="AH31" s="45" t="n">
        <f aca="false">IF(AH$6&gt;=embauche_resp,1,0)</f>
        <v>1</v>
      </c>
      <c r="AI31" s="45" t="n">
        <f aca="false">IF(AI$6&gt;=embauche_resp,1,0)</f>
        <v>1</v>
      </c>
      <c r="AJ31" s="45" t="n">
        <f aca="false">IF(AJ$6&gt;=embauche_resp,1,0)</f>
        <v>1</v>
      </c>
      <c r="AK31" s="45" t="n">
        <f aca="false">IF(AK$6&gt;=embauche_resp,1,0)</f>
        <v>1</v>
      </c>
      <c r="AL31" s="45" t="n">
        <f aca="false">IF(AL$6&gt;=embauche_resp,1,0)</f>
        <v>1</v>
      </c>
      <c r="AM31" s="45" t="n">
        <f aca="false">IF(AM$6&gt;=embauche_resp,1,0)</f>
        <v>1</v>
      </c>
      <c r="AO31" s="45" t="n">
        <f aca="false">INDEX($D31:$AM31,(AO$4-annee_debut)*12+12)</f>
        <v>0</v>
      </c>
      <c r="AP31" s="45" t="n">
        <f aca="false">INDEX($D31:$AM31,(AP$4-annee_debut)*12+12)</f>
        <v>1</v>
      </c>
      <c r="AQ31" s="45" t="n">
        <f aca="false">INDEX($D31:$AM31,(AQ$4-annee_debut)*12+12)</f>
        <v>1</v>
      </c>
    </row>
    <row r="32" customFormat="false" ht="15" hidden="false" customHeight="false" outlineLevel="0" collapsed="false">
      <c r="A32" s="10" t="s">
        <v>126</v>
      </c>
      <c r="B32" s="13" t="s">
        <v>366</v>
      </c>
      <c r="C32" s="50" t="n">
        <v>0</v>
      </c>
      <c r="D32" s="45" t="n">
        <f aca="false">nb_fondateurs</f>
        <v>2</v>
      </c>
      <c r="E32" s="45" t="n">
        <f aca="false">nb_fondateurs</f>
        <v>2</v>
      </c>
      <c r="F32" s="45" t="n">
        <f aca="false">nb_fondateurs</f>
        <v>2</v>
      </c>
      <c r="G32" s="45" t="n">
        <f aca="false">nb_fondateurs</f>
        <v>2</v>
      </c>
      <c r="H32" s="45" t="n">
        <f aca="false">nb_fondateurs</f>
        <v>2</v>
      </c>
      <c r="I32" s="45" t="n">
        <f aca="false">nb_fondateurs</f>
        <v>2</v>
      </c>
      <c r="J32" s="45" t="n">
        <f aca="false">nb_fondateurs</f>
        <v>2</v>
      </c>
      <c r="K32" s="45" t="n">
        <f aca="false">nb_fondateurs</f>
        <v>2</v>
      </c>
      <c r="L32" s="45" t="n">
        <f aca="false">nb_fondateurs</f>
        <v>2</v>
      </c>
      <c r="M32" s="45" t="n">
        <f aca="false">nb_fondateurs</f>
        <v>2</v>
      </c>
      <c r="N32" s="45" t="n">
        <f aca="false">nb_fondateurs</f>
        <v>2</v>
      </c>
      <c r="O32" s="45" t="n">
        <f aca="false">nb_fondateurs</f>
        <v>2</v>
      </c>
      <c r="P32" s="45" t="n">
        <f aca="false">nb_fondateurs</f>
        <v>2</v>
      </c>
      <c r="Q32" s="45" t="n">
        <f aca="false">nb_fondateurs</f>
        <v>2</v>
      </c>
      <c r="R32" s="45" t="n">
        <f aca="false">nb_fondateurs</f>
        <v>2</v>
      </c>
      <c r="S32" s="45" t="n">
        <f aca="false">nb_fondateurs</f>
        <v>2</v>
      </c>
      <c r="T32" s="45" t="n">
        <f aca="false">nb_fondateurs</f>
        <v>2</v>
      </c>
      <c r="U32" s="45" t="n">
        <f aca="false">nb_fondateurs</f>
        <v>2</v>
      </c>
      <c r="V32" s="45" t="n">
        <f aca="false">nb_fondateurs</f>
        <v>2</v>
      </c>
      <c r="W32" s="45" t="n">
        <f aca="false">nb_fondateurs</f>
        <v>2</v>
      </c>
      <c r="X32" s="45" t="n">
        <f aca="false">nb_fondateurs</f>
        <v>2</v>
      </c>
      <c r="Y32" s="45" t="n">
        <f aca="false">nb_fondateurs</f>
        <v>2</v>
      </c>
      <c r="Z32" s="45" t="n">
        <f aca="false">nb_fondateurs</f>
        <v>2</v>
      </c>
      <c r="AA32" s="45" t="n">
        <f aca="false">nb_fondateurs</f>
        <v>2</v>
      </c>
      <c r="AB32" s="45" t="n">
        <f aca="false">nb_fondateurs</f>
        <v>2</v>
      </c>
      <c r="AC32" s="45" t="n">
        <f aca="false">nb_fondateurs</f>
        <v>2</v>
      </c>
      <c r="AD32" s="45" t="n">
        <f aca="false">nb_fondateurs</f>
        <v>2</v>
      </c>
      <c r="AE32" s="45" t="n">
        <f aca="false">nb_fondateurs</f>
        <v>2</v>
      </c>
      <c r="AF32" s="45" t="n">
        <f aca="false">nb_fondateurs</f>
        <v>2</v>
      </c>
      <c r="AG32" s="45" t="n">
        <f aca="false">nb_fondateurs</f>
        <v>2</v>
      </c>
      <c r="AH32" s="45" t="n">
        <f aca="false">nb_fondateurs</f>
        <v>2</v>
      </c>
      <c r="AI32" s="45" t="n">
        <f aca="false">nb_fondateurs</f>
        <v>2</v>
      </c>
      <c r="AJ32" s="45" t="n">
        <f aca="false">nb_fondateurs</f>
        <v>2</v>
      </c>
      <c r="AK32" s="45" t="n">
        <f aca="false">nb_fondateurs</f>
        <v>2</v>
      </c>
      <c r="AL32" s="45" t="n">
        <f aca="false">nb_fondateurs</f>
        <v>2</v>
      </c>
      <c r="AM32" s="45" t="n">
        <f aca="false">nb_fondateurs</f>
        <v>2</v>
      </c>
      <c r="AO32" s="45" t="n">
        <f aca="false">INDEX($D32:$AM32,(AO$4-annee_debut)*12+12)</f>
        <v>2</v>
      </c>
      <c r="AP32" s="45" t="n">
        <f aca="false">INDEX($D32:$AM32,(AP$4-annee_debut)*12+12)</f>
        <v>2</v>
      </c>
      <c r="AQ32" s="45" t="n">
        <f aca="false">INDEX($D32:$AM32,(AQ$4-annee_debut)*12+12)</f>
        <v>2</v>
      </c>
    </row>
    <row r="33" customFormat="false" ht="15" hidden="false" customHeight="false" outlineLevel="0" collapsed="false">
      <c r="A33" s="11" t="s">
        <v>402</v>
      </c>
      <c r="B33" s="13" t="s">
        <v>366</v>
      </c>
      <c r="C33" s="50" t="n">
        <v>0</v>
      </c>
      <c r="D33" s="44" t="n">
        <f aca="false">SUM(D28:D32)</f>
        <v>4</v>
      </c>
      <c r="E33" s="44" t="n">
        <f aca="false">SUM(E28:E32)</f>
        <v>4</v>
      </c>
      <c r="F33" s="44" t="n">
        <f aca="false">SUM(F28:F32)</f>
        <v>4</v>
      </c>
      <c r="G33" s="44" t="n">
        <f aca="false">SUM(G28:G32)</f>
        <v>5</v>
      </c>
      <c r="H33" s="44" t="n">
        <f aca="false">SUM(H28:H32)</f>
        <v>5</v>
      </c>
      <c r="I33" s="44" t="n">
        <f aca="false">SUM(I28:I32)</f>
        <v>5</v>
      </c>
      <c r="J33" s="44" t="n">
        <f aca="false">SUM(J28:J32)</f>
        <v>5</v>
      </c>
      <c r="K33" s="44" t="n">
        <f aca="false">SUM(K28:K32)</f>
        <v>5</v>
      </c>
      <c r="L33" s="44" t="n">
        <f aca="false">SUM(L28:L32)</f>
        <v>5</v>
      </c>
      <c r="M33" s="44" t="n">
        <f aca="false">SUM(M28:M32)</f>
        <v>5</v>
      </c>
      <c r="N33" s="44" t="n">
        <f aca="false">SUM(N28:N32)</f>
        <v>5</v>
      </c>
      <c r="O33" s="44" t="n">
        <f aca="false">SUM(O28:O32)</f>
        <v>5</v>
      </c>
      <c r="P33" s="44" t="n">
        <f aca="false">SUM(P28:P32)</f>
        <v>6</v>
      </c>
      <c r="Q33" s="44" t="n">
        <f aca="false">SUM(Q28:Q32)</f>
        <v>7</v>
      </c>
      <c r="R33" s="44" t="n">
        <f aca="false">SUM(R28:R32)</f>
        <v>7</v>
      </c>
      <c r="S33" s="44" t="n">
        <f aca="false">SUM(S28:S32)</f>
        <v>8</v>
      </c>
      <c r="T33" s="44" t="n">
        <f aca="false">SUM(T28:T32)</f>
        <v>8</v>
      </c>
      <c r="U33" s="44" t="n">
        <f aca="false">SUM(U28:U32)</f>
        <v>8</v>
      </c>
      <c r="V33" s="44" t="n">
        <f aca="false">SUM(V28:V32)</f>
        <v>8</v>
      </c>
      <c r="W33" s="44" t="n">
        <f aca="false">SUM(W28:W32)</f>
        <v>8</v>
      </c>
      <c r="X33" s="44" t="n">
        <f aca="false">SUM(X28:X32)</f>
        <v>9</v>
      </c>
      <c r="Y33" s="44" t="n">
        <f aca="false">SUM(Y28:Y32)</f>
        <v>9</v>
      </c>
      <c r="Z33" s="44" t="n">
        <f aca="false">SUM(Z28:Z32)</f>
        <v>9</v>
      </c>
      <c r="AA33" s="44" t="n">
        <f aca="false">SUM(AA28:AA32)</f>
        <v>9</v>
      </c>
      <c r="AB33" s="44" t="n">
        <f aca="false">SUM(AB28:AB32)</f>
        <v>10</v>
      </c>
      <c r="AC33" s="44" t="n">
        <f aca="false">SUM(AC28:AC32)</f>
        <v>11</v>
      </c>
      <c r="AD33" s="44" t="n">
        <f aca="false">SUM(AD28:AD32)</f>
        <v>12</v>
      </c>
      <c r="AE33" s="44" t="n">
        <f aca="false">SUM(AE28:AE32)</f>
        <v>12</v>
      </c>
      <c r="AF33" s="44" t="n">
        <f aca="false">SUM(AF28:AF32)</f>
        <v>12</v>
      </c>
      <c r="AG33" s="44" t="n">
        <f aca="false">SUM(AG28:AG32)</f>
        <v>12</v>
      </c>
      <c r="AH33" s="44" t="n">
        <f aca="false">SUM(AH28:AH32)</f>
        <v>12</v>
      </c>
      <c r="AI33" s="44" t="n">
        <f aca="false">SUM(AI28:AI32)</f>
        <v>12</v>
      </c>
      <c r="AJ33" s="44" t="n">
        <f aca="false">SUM(AJ28:AJ32)</f>
        <v>14</v>
      </c>
      <c r="AK33" s="44" t="n">
        <f aca="false">SUM(AK28:AK32)</f>
        <v>14</v>
      </c>
      <c r="AL33" s="44" t="n">
        <f aca="false">SUM(AL28:AL32)</f>
        <v>14</v>
      </c>
      <c r="AM33" s="44" t="n">
        <f aca="false">SUM(AM28:AM32)</f>
        <v>14</v>
      </c>
      <c r="AO33" s="44" t="n">
        <f aca="false">INDEX($D33:$AM33,(AO$4-annee_debut)*12+12)</f>
        <v>5</v>
      </c>
      <c r="AP33" s="44" t="n">
        <f aca="false">INDEX($D33:$AM33,(AP$4-annee_debut)*12+12)</f>
        <v>9</v>
      </c>
      <c r="AQ33" s="44" t="n">
        <f aca="false">INDEX($D33:$AM33,(AQ$4-annee_debut)*12+12)</f>
        <v>14</v>
      </c>
    </row>
    <row r="34" customFormat="false" ht="15" hidden="false" customHeight="false" outlineLevel="0" collapsed="false">
      <c r="A34" s="5" t="s">
        <v>403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</row>
    <row r="35" customFormat="false" ht="15" hidden="false" customHeight="false" outlineLevel="0" collapsed="false">
      <c r="A35" s="10" t="s">
        <v>404</v>
      </c>
      <c r="B35" s="13" t="s">
        <v>183</v>
      </c>
      <c r="C35" s="50" t="n">
        <v>0</v>
      </c>
      <c r="D35" s="45" t="n">
        <f aca="false">IF(D$6&gt;mois_decision,regle_decision*IF(OR(INDEX($D$10:$AM$10,mois_decision)&lt;seuil_decision_pdv,prix_rotation_c&lt;seuil_prix,cout_lavage_c+cout_logistique_c+taux_perte_c*cout_contenant&gt;seuil_cout_variable),1,0),0)</f>
        <v>0</v>
      </c>
      <c r="E35" s="45" t="n">
        <f aca="false">IF(E$6&gt;mois_decision,regle_decision*IF(OR(INDEX($D$10:$AM$10,mois_decision)&lt;seuil_decision_pdv,prix_rotation_c&lt;seuil_prix,cout_lavage_c+cout_logistique_c+taux_perte_c*cout_contenant&gt;seuil_cout_variable),1,0),0)</f>
        <v>0</v>
      </c>
      <c r="F35" s="45" t="n">
        <f aca="false">IF(F$6&gt;mois_decision,regle_decision*IF(OR(INDEX($D$10:$AM$10,mois_decision)&lt;seuil_decision_pdv,prix_rotation_c&lt;seuil_prix,cout_lavage_c+cout_logistique_c+taux_perte_c*cout_contenant&gt;seuil_cout_variable),1,0),0)</f>
        <v>0</v>
      </c>
      <c r="G35" s="45" t="n">
        <f aca="false">IF(G$6&gt;mois_decision,regle_decision*IF(OR(INDEX($D$10:$AM$10,mois_decision)&lt;seuil_decision_pdv,prix_rotation_c&lt;seuil_prix,cout_lavage_c+cout_logistique_c+taux_perte_c*cout_contenant&gt;seuil_cout_variable),1,0),0)</f>
        <v>0</v>
      </c>
      <c r="H35" s="45" t="n">
        <f aca="false">IF(H$6&gt;mois_decision,regle_decision*IF(OR(INDEX($D$10:$AM$10,mois_decision)&lt;seuil_decision_pdv,prix_rotation_c&lt;seuil_prix,cout_lavage_c+cout_logistique_c+taux_perte_c*cout_contenant&gt;seuil_cout_variable),1,0),0)</f>
        <v>0</v>
      </c>
      <c r="I35" s="45" t="n">
        <f aca="false">IF(I$6&gt;mois_decision,regle_decision*IF(OR(INDEX($D$10:$AM$10,mois_decision)&lt;seuil_decision_pdv,prix_rotation_c&lt;seuil_prix,cout_lavage_c+cout_logistique_c+taux_perte_c*cout_contenant&gt;seuil_cout_variable),1,0),0)</f>
        <v>0</v>
      </c>
      <c r="J35" s="45" t="n">
        <f aca="false">IF(J$6&gt;mois_decision,regle_decision*IF(OR(INDEX($D$10:$AM$10,mois_decision)&lt;seuil_decision_pdv,prix_rotation_c&lt;seuil_prix,cout_lavage_c+cout_logistique_c+taux_perte_c*cout_contenant&gt;seuil_cout_variable),1,0),0)</f>
        <v>0</v>
      </c>
      <c r="K35" s="45" t="n">
        <f aca="false">IF(K$6&gt;mois_decision,regle_decision*IF(OR(INDEX($D$10:$AM$10,mois_decision)&lt;seuil_decision_pdv,prix_rotation_c&lt;seuil_prix,cout_lavage_c+cout_logistique_c+taux_perte_c*cout_contenant&gt;seuil_cout_variable),1,0),0)</f>
        <v>0</v>
      </c>
      <c r="L35" s="45" t="n">
        <f aca="false">IF(L$6&gt;mois_decision,regle_decision*IF(OR(INDEX($D$10:$AM$10,mois_decision)&lt;seuil_decision_pdv,prix_rotation_c&lt;seuil_prix,cout_lavage_c+cout_logistique_c+taux_perte_c*cout_contenant&gt;seuil_cout_variable),1,0),0)</f>
        <v>0</v>
      </c>
      <c r="M35" s="45" t="n">
        <f aca="false">IF(M$6&gt;mois_decision,regle_decision*IF(OR(INDEX($D$10:$AM$10,mois_decision)&lt;seuil_decision_pdv,prix_rotation_c&lt;seuil_prix,cout_lavage_c+cout_logistique_c+taux_perte_c*cout_contenant&gt;seuil_cout_variable),1,0),0)</f>
        <v>0</v>
      </c>
      <c r="N35" s="45" t="n">
        <f aca="false">IF(N$6&gt;mois_decision,regle_decision*IF(OR(INDEX($D$10:$AM$10,mois_decision)&lt;seuil_decision_pdv,prix_rotation_c&lt;seuil_prix,cout_lavage_c+cout_logistique_c+taux_perte_c*cout_contenant&gt;seuil_cout_variable),1,0),0)</f>
        <v>0</v>
      </c>
      <c r="O35" s="45" t="n">
        <f aca="false">IF(O$6&gt;mois_decision,regle_decision*IF(OR(INDEX($D$10:$AM$10,mois_decision)&lt;seuil_decision_pdv,prix_rotation_c&lt;seuil_prix,cout_lavage_c+cout_logistique_c+taux_perte_c*cout_contenant&gt;seuil_cout_variable),1,0),0)</f>
        <v>0</v>
      </c>
      <c r="P35" s="45" t="n">
        <f aca="false">IF(P$6&gt;mois_decision,regle_decision*IF(OR(INDEX($D$10:$AM$10,mois_decision)&lt;seuil_decision_pdv,prix_rotation_c&lt;seuil_prix,cout_lavage_c+cout_logistique_c+taux_perte_c*cout_contenant&gt;seuil_cout_variable),1,0),0)</f>
        <v>0</v>
      </c>
      <c r="Q35" s="45" t="n">
        <f aca="false">IF(Q$6&gt;mois_decision,regle_decision*IF(OR(INDEX($D$10:$AM$10,mois_decision)&lt;seuil_decision_pdv,prix_rotation_c&lt;seuil_prix,cout_lavage_c+cout_logistique_c+taux_perte_c*cout_contenant&gt;seuil_cout_variable),1,0),0)</f>
        <v>0</v>
      </c>
      <c r="R35" s="45" t="n">
        <f aca="false">IF(R$6&gt;mois_decision,regle_decision*IF(OR(INDEX($D$10:$AM$10,mois_decision)&lt;seuil_decision_pdv,prix_rotation_c&lt;seuil_prix,cout_lavage_c+cout_logistique_c+taux_perte_c*cout_contenant&gt;seuil_cout_variable),1,0),0)</f>
        <v>0</v>
      </c>
      <c r="S35" s="45" t="n">
        <f aca="false">IF(S$6&gt;mois_decision,regle_decision*IF(OR(INDEX($D$10:$AM$10,mois_decision)&lt;seuil_decision_pdv,prix_rotation_c&lt;seuil_prix,cout_lavage_c+cout_logistique_c+taux_perte_c*cout_contenant&gt;seuil_cout_variable),1,0),0)</f>
        <v>0</v>
      </c>
      <c r="T35" s="45" t="n">
        <f aca="false">IF(T$6&gt;mois_decision,regle_decision*IF(OR(INDEX($D$10:$AM$10,mois_decision)&lt;seuil_decision_pdv,prix_rotation_c&lt;seuil_prix,cout_lavage_c+cout_logistique_c+taux_perte_c*cout_contenant&gt;seuil_cout_variable),1,0),0)</f>
        <v>0</v>
      </c>
      <c r="U35" s="45" t="n">
        <f aca="false">IF(U$6&gt;mois_decision,regle_decision*IF(OR(INDEX($D$10:$AM$10,mois_decision)&lt;seuil_decision_pdv,prix_rotation_c&lt;seuil_prix,cout_lavage_c+cout_logistique_c+taux_perte_c*cout_contenant&gt;seuil_cout_variable),1,0),0)</f>
        <v>0</v>
      </c>
      <c r="V35" s="45" t="n">
        <f aca="false">IF(V$6&gt;mois_decision,regle_decision*IF(OR(INDEX($D$10:$AM$10,mois_decision)&lt;seuil_decision_pdv,prix_rotation_c&lt;seuil_prix,cout_lavage_c+cout_logistique_c+taux_perte_c*cout_contenant&gt;seuil_cout_variable),1,0),0)</f>
        <v>0</v>
      </c>
      <c r="W35" s="45" t="n">
        <f aca="false">IF(W$6&gt;mois_decision,regle_decision*IF(OR(INDEX($D$10:$AM$10,mois_decision)&lt;seuil_decision_pdv,prix_rotation_c&lt;seuil_prix,cout_lavage_c+cout_logistique_c+taux_perte_c*cout_contenant&gt;seuil_cout_variable),1,0),0)</f>
        <v>0</v>
      </c>
      <c r="X35" s="45" t="n">
        <f aca="false">IF(X$6&gt;mois_decision,regle_decision*IF(OR(INDEX($D$10:$AM$10,mois_decision)&lt;seuil_decision_pdv,prix_rotation_c&lt;seuil_prix,cout_lavage_c+cout_logistique_c+taux_perte_c*cout_contenant&gt;seuil_cout_variable),1,0),0)</f>
        <v>0</v>
      </c>
      <c r="Y35" s="45" t="n">
        <f aca="false">IF(Y$6&gt;mois_decision,regle_decision*IF(OR(INDEX($D$10:$AM$10,mois_decision)&lt;seuil_decision_pdv,prix_rotation_c&lt;seuil_prix,cout_lavage_c+cout_logistique_c+taux_perte_c*cout_contenant&gt;seuil_cout_variable),1,0),0)</f>
        <v>0</v>
      </c>
      <c r="Z35" s="45" t="n">
        <f aca="false">IF(Z$6&gt;mois_decision,regle_decision*IF(OR(INDEX($D$10:$AM$10,mois_decision)&lt;seuil_decision_pdv,prix_rotation_c&lt;seuil_prix,cout_lavage_c+cout_logistique_c+taux_perte_c*cout_contenant&gt;seuil_cout_variable),1,0),0)</f>
        <v>0</v>
      </c>
      <c r="AA35" s="45" t="n">
        <f aca="false">IF(AA$6&gt;mois_decision,regle_decision*IF(OR(INDEX($D$10:$AM$10,mois_decision)&lt;seuil_decision_pdv,prix_rotation_c&lt;seuil_prix,cout_lavage_c+cout_logistique_c+taux_perte_c*cout_contenant&gt;seuil_cout_variable),1,0),0)</f>
        <v>0</v>
      </c>
      <c r="AB35" s="45" t="n">
        <f aca="false">IF(AB$6&gt;mois_decision,regle_decision*IF(OR(INDEX($D$10:$AM$10,mois_decision)&lt;seuil_decision_pdv,prix_rotation_c&lt;seuil_prix,cout_lavage_c+cout_logistique_c+taux_perte_c*cout_contenant&gt;seuil_cout_variable),1,0),0)</f>
        <v>0</v>
      </c>
      <c r="AC35" s="45" t="n">
        <f aca="false">IF(AC$6&gt;mois_decision,regle_decision*IF(OR(INDEX($D$10:$AM$10,mois_decision)&lt;seuil_decision_pdv,prix_rotation_c&lt;seuil_prix,cout_lavage_c+cout_logistique_c+taux_perte_c*cout_contenant&gt;seuil_cout_variable),1,0),0)</f>
        <v>0</v>
      </c>
      <c r="AD35" s="45" t="n">
        <f aca="false">IF(AD$6&gt;mois_decision,regle_decision*IF(OR(INDEX($D$10:$AM$10,mois_decision)&lt;seuil_decision_pdv,prix_rotation_c&lt;seuil_prix,cout_lavage_c+cout_logistique_c+taux_perte_c*cout_contenant&gt;seuil_cout_variable),1,0),0)</f>
        <v>0</v>
      </c>
      <c r="AE35" s="45" t="n">
        <f aca="false">IF(AE$6&gt;mois_decision,regle_decision*IF(OR(INDEX($D$10:$AM$10,mois_decision)&lt;seuil_decision_pdv,prix_rotation_c&lt;seuil_prix,cout_lavage_c+cout_logistique_c+taux_perte_c*cout_contenant&gt;seuil_cout_variable),1,0),0)</f>
        <v>0</v>
      </c>
      <c r="AF35" s="45" t="n">
        <f aca="false">IF(AF$6&gt;mois_decision,regle_decision*IF(OR(INDEX($D$10:$AM$10,mois_decision)&lt;seuil_decision_pdv,prix_rotation_c&lt;seuil_prix,cout_lavage_c+cout_logistique_c+taux_perte_c*cout_contenant&gt;seuil_cout_variable),1,0),0)</f>
        <v>0</v>
      </c>
      <c r="AG35" s="45" t="n">
        <f aca="false">IF(AG$6&gt;mois_decision,regle_decision*IF(OR(INDEX($D$10:$AM$10,mois_decision)&lt;seuil_decision_pdv,prix_rotation_c&lt;seuil_prix,cout_lavage_c+cout_logistique_c+taux_perte_c*cout_contenant&gt;seuil_cout_variable),1,0),0)</f>
        <v>0</v>
      </c>
      <c r="AH35" s="45" t="n">
        <f aca="false">IF(AH$6&gt;mois_decision,regle_decision*IF(OR(INDEX($D$10:$AM$10,mois_decision)&lt;seuil_decision_pdv,prix_rotation_c&lt;seuil_prix,cout_lavage_c+cout_logistique_c+taux_perte_c*cout_contenant&gt;seuil_cout_variable),1,0),0)</f>
        <v>0</v>
      </c>
      <c r="AI35" s="45" t="n">
        <f aca="false">IF(AI$6&gt;mois_decision,regle_decision*IF(OR(INDEX($D$10:$AM$10,mois_decision)&lt;seuil_decision_pdv,prix_rotation_c&lt;seuil_prix,cout_lavage_c+cout_logistique_c+taux_perte_c*cout_contenant&gt;seuil_cout_variable),1,0),0)</f>
        <v>0</v>
      </c>
      <c r="AJ35" s="45" t="n">
        <f aca="false">IF(AJ$6&gt;mois_decision,regle_decision*IF(OR(INDEX($D$10:$AM$10,mois_decision)&lt;seuil_decision_pdv,prix_rotation_c&lt;seuil_prix,cout_lavage_c+cout_logistique_c+taux_perte_c*cout_contenant&gt;seuil_cout_variable),1,0),0)</f>
        <v>0</v>
      </c>
      <c r="AK35" s="45" t="n">
        <f aca="false">IF(AK$6&gt;mois_decision,regle_decision*IF(OR(INDEX($D$10:$AM$10,mois_decision)&lt;seuil_decision_pdv,prix_rotation_c&lt;seuil_prix,cout_lavage_c+cout_logistique_c+taux_perte_c*cout_contenant&gt;seuil_cout_variable),1,0),0)</f>
        <v>0</v>
      </c>
      <c r="AL35" s="45" t="n">
        <f aca="false">IF(AL$6&gt;mois_decision,regle_decision*IF(OR(INDEX($D$10:$AM$10,mois_decision)&lt;seuil_decision_pdv,prix_rotation_c&lt;seuil_prix,cout_lavage_c+cout_logistique_c+taux_perte_c*cout_contenant&gt;seuil_cout_variable),1,0),0)</f>
        <v>0</v>
      </c>
      <c r="AM35" s="45" t="n">
        <f aca="false">IF(AM$6&gt;mois_decision,regle_decision*IF(OR(INDEX($D$10:$AM$10,mois_decision)&lt;seuil_decision_pdv,prix_rotation_c&lt;seuil_prix,cout_lavage_c+cout_logistique_c+taux_perte_c*cout_contenant&gt;seuil_cout_variable),1,0),0)</f>
        <v>0</v>
      </c>
      <c r="AO35" s="45" t="n">
        <f aca="false">INDEX($D35:$AM35,(AO$4-annee_debut)*12+12)</f>
        <v>0</v>
      </c>
      <c r="AP35" s="45" t="n">
        <f aca="false">INDEX($D35:$AM35,(AP$4-annee_debut)*12+12)</f>
        <v>0</v>
      </c>
      <c r="AQ35" s="45" t="n">
        <f aca="false">INDEX($D35:$AM35,(AQ$4-annee_debut)*12+12)</f>
        <v>0</v>
      </c>
    </row>
    <row r="36" customFormat="false" ht="15" hidden="false" customHeight="false" outlineLevel="0" collapsed="false">
      <c r="A36" s="5" t="s">
        <v>267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</row>
    <row r="37" customFormat="false" ht="15" hidden="false" customHeight="false" outlineLevel="0" collapsed="false">
      <c r="A37" s="10" t="s">
        <v>405</v>
      </c>
      <c r="B37" s="13" t="s">
        <v>161</v>
      </c>
      <c r="C37" s="50" t="n">
        <v>0</v>
      </c>
      <c r="D37" s="45" t="n">
        <f aca="false">D32*IF(D35=1,rem_fondateur_a1,CHOOSE(D$4-annee_debut+1,rem_fondateur_a1,rem_fondateur_a2,rem_fondateur_a3))/12</f>
        <v>5000</v>
      </c>
      <c r="E37" s="45" t="n">
        <f aca="false">E32*IF(E35=1,rem_fondateur_a1,CHOOSE(E$4-annee_debut+1,rem_fondateur_a1,rem_fondateur_a2,rem_fondateur_a3))/12</f>
        <v>5000</v>
      </c>
      <c r="F37" s="45" t="n">
        <f aca="false">F32*IF(F35=1,rem_fondateur_a1,CHOOSE(F$4-annee_debut+1,rem_fondateur_a1,rem_fondateur_a2,rem_fondateur_a3))/12</f>
        <v>5000</v>
      </c>
      <c r="G37" s="45" t="n">
        <f aca="false">G32*IF(G35=1,rem_fondateur_a1,CHOOSE(G$4-annee_debut+1,rem_fondateur_a1,rem_fondateur_a2,rem_fondateur_a3))/12</f>
        <v>5000</v>
      </c>
      <c r="H37" s="45" t="n">
        <f aca="false">H32*IF(H35=1,rem_fondateur_a1,CHOOSE(H$4-annee_debut+1,rem_fondateur_a1,rem_fondateur_a2,rem_fondateur_a3))/12</f>
        <v>5000</v>
      </c>
      <c r="I37" s="45" t="n">
        <f aca="false">I32*IF(I35=1,rem_fondateur_a1,CHOOSE(I$4-annee_debut+1,rem_fondateur_a1,rem_fondateur_a2,rem_fondateur_a3))/12</f>
        <v>5000</v>
      </c>
      <c r="J37" s="45" t="n">
        <f aca="false">J32*IF(J35=1,rem_fondateur_a1,CHOOSE(J$4-annee_debut+1,rem_fondateur_a1,rem_fondateur_a2,rem_fondateur_a3))/12</f>
        <v>5000</v>
      </c>
      <c r="K37" s="45" t="n">
        <f aca="false">K32*IF(K35=1,rem_fondateur_a1,CHOOSE(K$4-annee_debut+1,rem_fondateur_a1,rem_fondateur_a2,rem_fondateur_a3))/12</f>
        <v>5000</v>
      </c>
      <c r="L37" s="45" t="n">
        <f aca="false">L32*IF(L35=1,rem_fondateur_a1,CHOOSE(L$4-annee_debut+1,rem_fondateur_a1,rem_fondateur_a2,rem_fondateur_a3))/12</f>
        <v>5000</v>
      </c>
      <c r="M37" s="45" t="n">
        <f aca="false">M32*IF(M35=1,rem_fondateur_a1,CHOOSE(M$4-annee_debut+1,rem_fondateur_a1,rem_fondateur_a2,rem_fondateur_a3))/12</f>
        <v>5000</v>
      </c>
      <c r="N37" s="45" t="n">
        <f aca="false">N32*IF(N35=1,rem_fondateur_a1,CHOOSE(N$4-annee_debut+1,rem_fondateur_a1,rem_fondateur_a2,rem_fondateur_a3))/12</f>
        <v>5000</v>
      </c>
      <c r="O37" s="45" t="n">
        <f aca="false">O32*IF(O35=1,rem_fondateur_a1,CHOOSE(O$4-annee_debut+1,rem_fondateur_a1,rem_fondateur_a2,rem_fondateur_a3))/12</f>
        <v>5000</v>
      </c>
      <c r="P37" s="45" t="n">
        <f aca="false">P32*IF(P35=1,rem_fondateur_a1,CHOOSE(P$4-annee_debut+1,rem_fondateur_a1,rem_fondateur_a2,rem_fondateur_a3))/12</f>
        <v>7000</v>
      </c>
      <c r="Q37" s="45" t="n">
        <f aca="false">Q32*IF(Q35=1,rem_fondateur_a1,CHOOSE(Q$4-annee_debut+1,rem_fondateur_a1,rem_fondateur_a2,rem_fondateur_a3))/12</f>
        <v>7000</v>
      </c>
      <c r="R37" s="45" t="n">
        <f aca="false">R32*IF(R35=1,rem_fondateur_a1,CHOOSE(R$4-annee_debut+1,rem_fondateur_a1,rem_fondateur_a2,rem_fondateur_a3))/12</f>
        <v>7000</v>
      </c>
      <c r="S37" s="45" t="n">
        <f aca="false">S32*IF(S35=1,rem_fondateur_a1,CHOOSE(S$4-annee_debut+1,rem_fondateur_a1,rem_fondateur_a2,rem_fondateur_a3))/12</f>
        <v>7000</v>
      </c>
      <c r="T37" s="45" t="n">
        <f aca="false">T32*IF(T35=1,rem_fondateur_a1,CHOOSE(T$4-annee_debut+1,rem_fondateur_a1,rem_fondateur_a2,rem_fondateur_a3))/12</f>
        <v>7000</v>
      </c>
      <c r="U37" s="45" t="n">
        <f aca="false">U32*IF(U35=1,rem_fondateur_a1,CHOOSE(U$4-annee_debut+1,rem_fondateur_a1,rem_fondateur_a2,rem_fondateur_a3))/12</f>
        <v>7000</v>
      </c>
      <c r="V37" s="45" t="n">
        <f aca="false">V32*IF(V35=1,rem_fondateur_a1,CHOOSE(V$4-annee_debut+1,rem_fondateur_a1,rem_fondateur_a2,rem_fondateur_a3))/12</f>
        <v>7000</v>
      </c>
      <c r="W37" s="45" t="n">
        <f aca="false">W32*IF(W35=1,rem_fondateur_a1,CHOOSE(W$4-annee_debut+1,rem_fondateur_a1,rem_fondateur_a2,rem_fondateur_a3))/12</f>
        <v>7000</v>
      </c>
      <c r="X37" s="45" t="n">
        <f aca="false">X32*IF(X35=1,rem_fondateur_a1,CHOOSE(X$4-annee_debut+1,rem_fondateur_a1,rem_fondateur_a2,rem_fondateur_a3))/12</f>
        <v>7000</v>
      </c>
      <c r="Y37" s="45" t="n">
        <f aca="false">Y32*IF(Y35=1,rem_fondateur_a1,CHOOSE(Y$4-annee_debut+1,rem_fondateur_a1,rem_fondateur_a2,rem_fondateur_a3))/12</f>
        <v>7000</v>
      </c>
      <c r="Z37" s="45" t="n">
        <f aca="false">Z32*IF(Z35=1,rem_fondateur_a1,CHOOSE(Z$4-annee_debut+1,rem_fondateur_a1,rem_fondateur_a2,rem_fondateur_a3))/12</f>
        <v>7000</v>
      </c>
      <c r="AA37" s="45" t="n">
        <f aca="false">AA32*IF(AA35=1,rem_fondateur_a1,CHOOSE(AA$4-annee_debut+1,rem_fondateur_a1,rem_fondateur_a2,rem_fondateur_a3))/12</f>
        <v>7000</v>
      </c>
      <c r="AB37" s="45" t="n">
        <f aca="false">AB32*IF(AB35=1,rem_fondateur_a1,CHOOSE(AB$4-annee_debut+1,rem_fondateur_a1,rem_fondateur_a2,rem_fondateur_a3))/12</f>
        <v>9000</v>
      </c>
      <c r="AC37" s="45" t="n">
        <f aca="false">AC32*IF(AC35=1,rem_fondateur_a1,CHOOSE(AC$4-annee_debut+1,rem_fondateur_a1,rem_fondateur_a2,rem_fondateur_a3))/12</f>
        <v>9000</v>
      </c>
      <c r="AD37" s="45" t="n">
        <f aca="false">AD32*IF(AD35=1,rem_fondateur_a1,CHOOSE(AD$4-annee_debut+1,rem_fondateur_a1,rem_fondateur_a2,rem_fondateur_a3))/12</f>
        <v>9000</v>
      </c>
      <c r="AE37" s="45" t="n">
        <f aca="false">AE32*IF(AE35=1,rem_fondateur_a1,CHOOSE(AE$4-annee_debut+1,rem_fondateur_a1,rem_fondateur_a2,rem_fondateur_a3))/12</f>
        <v>9000</v>
      </c>
      <c r="AF37" s="45" t="n">
        <f aca="false">AF32*IF(AF35=1,rem_fondateur_a1,CHOOSE(AF$4-annee_debut+1,rem_fondateur_a1,rem_fondateur_a2,rem_fondateur_a3))/12</f>
        <v>9000</v>
      </c>
      <c r="AG37" s="45" t="n">
        <f aca="false">AG32*IF(AG35=1,rem_fondateur_a1,CHOOSE(AG$4-annee_debut+1,rem_fondateur_a1,rem_fondateur_a2,rem_fondateur_a3))/12</f>
        <v>9000</v>
      </c>
      <c r="AH37" s="45" t="n">
        <f aca="false">AH32*IF(AH35=1,rem_fondateur_a1,CHOOSE(AH$4-annee_debut+1,rem_fondateur_a1,rem_fondateur_a2,rem_fondateur_a3))/12</f>
        <v>9000</v>
      </c>
      <c r="AI37" s="45" t="n">
        <f aca="false">AI32*IF(AI35=1,rem_fondateur_a1,CHOOSE(AI$4-annee_debut+1,rem_fondateur_a1,rem_fondateur_a2,rem_fondateur_a3))/12</f>
        <v>9000</v>
      </c>
      <c r="AJ37" s="45" t="n">
        <f aca="false">AJ32*IF(AJ35=1,rem_fondateur_a1,CHOOSE(AJ$4-annee_debut+1,rem_fondateur_a1,rem_fondateur_a2,rem_fondateur_a3))/12</f>
        <v>9000</v>
      </c>
      <c r="AK37" s="45" t="n">
        <f aca="false">AK32*IF(AK35=1,rem_fondateur_a1,CHOOSE(AK$4-annee_debut+1,rem_fondateur_a1,rem_fondateur_a2,rem_fondateur_a3))/12</f>
        <v>9000</v>
      </c>
      <c r="AL37" s="45" t="n">
        <f aca="false">AL32*IF(AL35=1,rem_fondateur_a1,CHOOSE(AL$4-annee_debut+1,rem_fondateur_a1,rem_fondateur_a2,rem_fondateur_a3))/12</f>
        <v>9000</v>
      </c>
      <c r="AM37" s="45" t="n">
        <f aca="false">AM32*IF(AM35=1,rem_fondateur_a1,CHOOSE(AM$4-annee_debut+1,rem_fondateur_a1,rem_fondateur_a2,rem_fondateur_a3))/12</f>
        <v>9000</v>
      </c>
      <c r="AO37" s="45" t="n">
        <f aca="false">SUMIF($D$4:$AM$4,AO$4,$D37:$AM37)</f>
        <v>60000</v>
      </c>
      <c r="AP37" s="45" t="n">
        <f aca="false">SUMIF($D$4:$AM$4,AP$4,$D37:$AM37)</f>
        <v>84000</v>
      </c>
      <c r="AQ37" s="45" t="n">
        <f aca="false">SUMIF($D$4:$AM$4,AQ$4,$D37:$AM37)</f>
        <v>108000</v>
      </c>
    </row>
    <row r="38" customFormat="false" ht="15" hidden="false" customHeight="false" outlineLevel="0" collapsed="false">
      <c r="A38" s="10" t="s">
        <v>406</v>
      </c>
      <c r="B38" s="13" t="s">
        <v>161</v>
      </c>
      <c r="C38" s="50" t="n">
        <v>0</v>
      </c>
      <c r="D38" s="45" t="n">
        <f aca="false">(D28*sal_operateur+D29*sal_chauffeur+D30*sal_commercial+D31*sal_responsable)/12*D15</f>
        <v>5833.33333333333</v>
      </c>
      <c r="E38" s="45" t="n">
        <f aca="false">(E28*sal_operateur+E29*sal_chauffeur+E30*sal_commercial+E31*sal_responsable)/12*E15</f>
        <v>5833.33333333333</v>
      </c>
      <c r="F38" s="45" t="n">
        <f aca="false">(F28*sal_operateur+F29*sal_chauffeur+F30*sal_commercial+F31*sal_responsable)/12*F15</f>
        <v>5833.33333333333</v>
      </c>
      <c r="G38" s="45" t="n">
        <f aca="false">(G28*sal_operateur+G29*sal_chauffeur+G30*sal_commercial+G31*sal_responsable)/12*G15</f>
        <v>10666.6666666667</v>
      </c>
      <c r="H38" s="45" t="n">
        <f aca="false">(H28*sal_operateur+H29*sal_chauffeur+H30*sal_commercial+H31*sal_responsable)/12*H15</f>
        <v>10666.6666666667</v>
      </c>
      <c r="I38" s="45" t="n">
        <f aca="false">(I28*sal_operateur+I29*sal_chauffeur+I30*sal_commercial+I31*sal_responsable)/12*I15</f>
        <v>10666.6666666667</v>
      </c>
      <c r="J38" s="45" t="n">
        <f aca="false">(J28*sal_operateur+J29*sal_chauffeur+J30*sal_commercial+J31*sal_responsable)/12*J15</f>
        <v>10666.6666666667</v>
      </c>
      <c r="K38" s="45" t="n">
        <f aca="false">(K28*sal_operateur+K29*sal_chauffeur+K30*sal_commercial+K31*sal_responsable)/12*K15</f>
        <v>10666.6666666667</v>
      </c>
      <c r="L38" s="45" t="n">
        <f aca="false">(L28*sal_operateur+L29*sal_chauffeur+L30*sal_commercial+L31*sal_responsable)/12*L15</f>
        <v>10666.6666666667</v>
      </c>
      <c r="M38" s="45" t="n">
        <f aca="false">(M28*sal_operateur+M29*sal_chauffeur+M30*sal_commercial+M31*sal_responsable)/12*M15</f>
        <v>10666.6666666667</v>
      </c>
      <c r="N38" s="45" t="n">
        <f aca="false">(N28*sal_operateur+N29*sal_chauffeur+N30*sal_commercial+N31*sal_responsable)/12*N15</f>
        <v>10666.6666666667</v>
      </c>
      <c r="O38" s="45" t="n">
        <f aca="false">(O28*sal_operateur+O29*sal_chauffeur+O30*sal_commercial+O31*sal_responsable)/12*O15</f>
        <v>10666.6666666667</v>
      </c>
      <c r="P38" s="45" t="n">
        <f aca="false">(P28*sal_operateur+P29*sal_chauffeur+P30*sal_commercial+P31*sal_responsable)/12*P15</f>
        <v>15300</v>
      </c>
      <c r="Q38" s="45" t="n">
        <f aca="false">(Q28*sal_operateur+Q29*sal_chauffeur+Q30*sal_commercial+Q31*sal_responsable)/12*Q15</f>
        <v>18360</v>
      </c>
      <c r="R38" s="45" t="n">
        <f aca="false">(R28*sal_operateur+R29*sal_chauffeur+R30*sal_commercial+R31*sal_responsable)/12*R15</f>
        <v>18360</v>
      </c>
      <c r="S38" s="45" t="n">
        <f aca="false">(S28*sal_operateur+S29*sal_chauffeur+S30*sal_commercial+S31*sal_responsable)/12*S15</f>
        <v>21250</v>
      </c>
      <c r="T38" s="45" t="n">
        <f aca="false">(T28*sal_operateur+T29*sal_chauffeur+T30*sal_commercial+T31*sal_responsable)/12*T15</f>
        <v>21250</v>
      </c>
      <c r="U38" s="45" t="n">
        <f aca="false">(U28*sal_operateur+U29*sal_chauffeur+U30*sal_commercial+U31*sal_responsable)/12*U15</f>
        <v>21250</v>
      </c>
      <c r="V38" s="45" t="n">
        <f aca="false">(V28*sal_operateur+V29*sal_chauffeur+V30*sal_commercial+V31*sal_responsable)/12*V15</f>
        <v>21250</v>
      </c>
      <c r="W38" s="45" t="n">
        <f aca="false">(W28*sal_operateur+W29*sal_chauffeur+W30*sal_commercial+W31*sal_responsable)/12*W15</f>
        <v>21250</v>
      </c>
      <c r="X38" s="45" t="n">
        <f aca="false">(X28*sal_operateur+X29*sal_chauffeur+X30*sal_commercial+X31*sal_responsable)/12*X15</f>
        <v>24310</v>
      </c>
      <c r="Y38" s="45" t="n">
        <f aca="false">(Y28*sal_operateur+Y29*sal_chauffeur+Y30*sal_commercial+Y31*sal_responsable)/12*Y15</f>
        <v>24310</v>
      </c>
      <c r="Z38" s="45" t="n">
        <f aca="false">(Z28*sal_operateur+Z29*sal_chauffeur+Z30*sal_commercial+Z31*sal_responsable)/12*Z15</f>
        <v>24310</v>
      </c>
      <c r="AA38" s="45" t="n">
        <f aca="false">(AA28*sal_operateur+AA29*sal_chauffeur+AA30*sal_commercial+AA31*sal_responsable)/12*AA15</f>
        <v>24310</v>
      </c>
      <c r="AB38" s="45" t="n">
        <f aca="false">(AB28*sal_operateur+AB29*sal_chauffeur+AB30*sal_commercial+AB31*sal_responsable)/12*AB15</f>
        <v>29824.8</v>
      </c>
      <c r="AC38" s="45" t="n">
        <f aca="false">(AC28*sal_operateur+AC29*sal_chauffeur+AC30*sal_commercial+AC31*sal_responsable)/12*AC15</f>
        <v>32772.6</v>
      </c>
      <c r="AD38" s="45" t="n">
        <f aca="false">(AD28*sal_operateur+AD29*sal_chauffeur+AD30*sal_commercial+AD31*sal_responsable)/12*AD15</f>
        <v>35893.8</v>
      </c>
      <c r="AE38" s="45" t="n">
        <f aca="false">(AE28*sal_operateur+AE29*sal_chauffeur+AE30*sal_commercial+AE31*sal_responsable)/12*AE15</f>
        <v>35893.8</v>
      </c>
      <c r="AF38" s="45" t="n">
        <f aca="false">(AF28*sal_operateur+AF29*sal_chauffeur+AF30*sal_commercial+AF31*sal_responsable)/12*AF15</f>
        <v>35893.8</v>
      </c>
      <c r="AG38" s="45" t="n">
        <f aca="false">(AG28*sal_operateur+AG29*sal_chauffeur+AG30*sal_commercial+AG31*sal_responsable)/12*AG15</f>
        <v>35893.8</v>
      </c>
      <c r="AH38" s="45" t="n">
        <f aca="false">(AH28*sal_operateur+AH29*sal_chauffeur+AH30*sal_commercial+AH31*sal_responsable)/12*AH15</f>
        <v>35893.8</v>
      </c>
      <c r="AI38" s="45" t="n">
        <f aca="false">(AI28*sal_operateur+AI29*sal_chauffeur+AI30*sal_commercial+AI31*sal_responsable)/12*AI15</f>
        <v>35893.8</v>
      </c>
      <c r="AJ38" s="45" t="n">
        <f aca="false">(AJ28*sal_operateur+AJ29*sal_chauffeur+AJ30*sal_commercial+AJ31*sal_responsable)/12*AJ15</f>
        <v>41962.8</v>
      </c>
      <c r="AK38" s="45" t="n">
        <f aca="false">(AK28*sal_operateur+AK29*sal_chauffeur+AK30*sal_commercial+AK31*sal_responsable)/12*AK15</f>
        <v>41962.8</v>
      </c>
      <c r="AL38" s="45" t="n">
        <f aca="false">(AL28*sal_operateur+AL29*sal_chauffeur+AL30*sal_commercial+AL31*sal_responsable)/12*AL15</f>
        <v>41962.8</v>
      </c>
      <c r="AM38" s="45" t="n">
        <f aca="false">(AM28*sal_operateur+AM29*sal_chauffeur+AM30*sal_commercial+AM31*sal_responsable)/12*AM15</f>
        <v>41962.8</v>
      </c>
      <c r="AO38" s="45" t="n">
        <f aca="false">SUMIF($D$4:$AM$4,AO$4,$D38:$AM38)</f>
        <v>113500</v>
      </c>
      <c r="AP38" s="45" t="n">
        <f aca="false">SUMIF($D$4:$AM$4,AP$4,$D38:$AM38)</f>
        <v>255510</v>
      </c>
      <c r="AQ38" s="45" t="n">
        <f aca="false">SUMIF($D$4:$AM$4,AQ$4,$D38:$AM38)</f>
        <v>445811.4</v>
      </c>
    </row>
    <row r="39" customFormat="false" ht="15" hidden="false" customHeight="false" outlineLevel="0" collapsed="false">
      <c r="A39" s="11" t="s">
        <v>407</v>
      </c>
      <c r="B39" s="13" t="s">
        <v>161</v>
      </c>
      <c r="C39" s="50" t="n">
        <v>0</v>
      </c>
      <c r="D39" s="44" t="n">
        <f aca="false">D37+D38</f>
        <v>10833.3333333333</v>
      </c>
      <c r="E39" s="44" t="n">
        <f aca="false">E37+E38</f>
        <v>10833.3333333333</v>
      </c>
      <c r="F39" s="44" t="n">
        <f aca="false">F37+F38</f>
        <v>10833.3333333333</v>
      </c>
      <c r="G39" s="44" t="n">
        <f aca="false">G37+G38</f>
        <v>15666.6666666667</v>
      </c>
      <c r="H39" s="44" t="n">
        <f aca="false">H37+H38</f>
        <v>15666.6666666667</v>
      </c>
      <c r="I39" s="44" t="n">
        <f aca="false">I37+I38</f>
        <v>15666.6666666667</v>
      </c>
      <c r="J39" s="44" t="n">
        <f aca="false">J37+J38</f>
        <v>15666.6666666667</v>
      </c>
      <c r="K39" s="44" t="n">
        <f aca="false">K37+K38</f>
        <v>15666.6666666667</v>
      </c>
      <c r="L39" s="44" t="n">
        <f aca="false">L37+L38</f>
        <v>15666.6666666667</v>
      </c>
      <c r="M39" s="44" t="n">
        <f aca="false">M37+M38</f>
        <v>15666.6666666667</v>
      </c>
      <c r="N39" s="44" t="n">
        <f aca="false">N37+N38</f>
        <v>15666.6666666667</v>
      </c>
      <c r="O39" s="44" t="n">
        <f aca="false">O37+O38</f>
        <v>15666.6666666667</v>
      </c>
      <c r="P39" s="44" t="n">
        <f aca="false">P37+P38</f>
        <v>22300</v>
      </c>
      <c r="Q39" s="44" t="n">
        <f aca="false">Q37+Q38</f>
        <v>25360</v>
      </c>
      <c r="R39" s="44" t="n">
        <f aca="false">R37+R38</f>
        <v>25360</v>
      </c>
      <c r="S39" s="44" t="n">
        <f aca="false">S37+S38</f>
        <v>28250</v>
      </c>
      <c r="T39" s="44" t="n">
        <f aca="false">T37+T38</f>
        <v>28250</v>
      </c>
      <c r="U39" s="44" t="n">
        <f aca="false">U37+U38</f>
        <v>28250</v>
      </c>
      <c r="V39" s="44" t="n">
        <f aca="false">V37+V38</f>
        <v>28250</v>
      </c>
      <c r="W39" s="44" t="n">
        <f aca="false">W37+W38</f>
        <v>28250</v>
      </c>
      <c r="X39" s="44" t="n">
        <f aca="false">X37+X38</f>
        <v>31310</v>
      </c>
      <c r="Y39" s="44" t="n">
        <f aca="false">Y37+Y38</f>
        <v>31310</v>
      </c>
      <c r="Z39" s="44" t="n">
        <f aca="false">Z37+Z38</f>
        <v>31310</v>
      </c>
      <c r="AA39" s="44" t="n">
        <f aca="false">AA37+AA38</f>
        <v>31310</v>
      </c>
      <c r="AB39" s="44" t="n">
        <f aca="false">AB37+AB38</f>
        <v>38824.8</v>
      </c>
      <c r="AC39" s="44" t="n">
        <f aca="false">AC37+AC38</f>
        <v>41772.6</v>
      </c>
      <c r="AD39" s="44" t="n">
        <f aca="false">AD37+AD38</f>
        <v>44893.8</v>
      </c>
      <c r="AE39" s="44" t="n">
        <f aca="false">AE37+AE38</f>
        <v>44893.8</v>
      </c>
      <c r="AF39" s="44" t="n">
        <f aca="false">AF37+AF38</f>
        <v>44893.8</v>
      </c>
      <c r="AG39" s="44" t="n">
        <f aca="false">AG37+AG38</f>
        <v>44893.8</v>
      </c>
      <c r="AH39" s="44" t="n">
        <f aca="false">AH37+AH38</f>
        <v>44893.8</v>
      </c>
      <c r="AI39" s="44" t="n">
        <f aca="false">AI37+AI38</f>
        <v>44893.8</v>
      </c>
      <c r="AJ39" s="44" t="n">
        <f aca="false">AJ37+AJ38</f>
        <v>50962.8</v>
      </c>
      <c r="AK39" s="44" t="n">
        <f aca="false">AK37+AK38</f>
        <v>50962.8</v>
      </c>
      <c r="AL39" s="44" t="n">
        <f aca="false">AL37+AL38</f>
        <v>50962.8</v>
      </c>
      <c r="AM39" s="44" t="n">
        <f aca="false">AM37+AM38</f>
        <v>50962.8</v>
      </c>
      <c r="AO39" s="44" t="n">
        <f aca="false">SUMIF($D$4:$AM$4,AO$4,$D39:$AM39)</f>
        <v>173500</v>
      </c>
      <c r="AP39" s="44" t="n">
        <f aca="false">SUMIF($D$4:$AM$4,AP$4,$D39:$AM39)</f>
        <v>339510</v>
      </c>
      <c r="AQ39" s="44" t="n">
        <f aca="false">SUMIF($D$4:$AM$4,AQ$4,$D39:$AM39)</f>
        <v>553811.4</v>
      </c>
    </row>
    <row r="40" customFormat="false" ht="15" hidden="false" customHeight="false" outlineLevel="0" collapsed="false">
      <c r="A40" s="5" t="s">
        <v>268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</row>
    <row r="41" customFormat="false" ht="15" hidden="false" customHeight="false" outlineLevel="0" collapsed="false">
      <c r="A41" s="10" t="s">
        <v>279</v>
      </c>
      <c r="B41" s="13" t="s">
        <v>59</v>
      </c>
      <c r="C41" s="50" t="n">
        <v>0</v>
      </c>
      <c r="D41" s="45" t="n">
        <f aca="false">MAX(C41,MAX(1,ROUNDUP(D13/(cap_ligne*seuil_ligne),0)))</f>
        <v>1</v>
      </c>
      <c r="E41" s="45" t="n">
        <f aca="false">MAX(D41,MAX(1,ROUNDUP(E13/(cap_ligne*seuil_ligne),0)))</f>
        <v>1</v>
      </c>
      <c r="F41" s="45" t="n">
        <f aca="false">MAX(E41,MAX(1,ROUNDUP(F13/(cap_ligne*seuil_ligne),0)))</f>
        <v>1</v>
      </c>
      <c r="G41" s="45" t="n">
        <f aca="false">MAX(F41,MAX(1,ROUNDUP(G13/(cap_ligne*seuil_ligne),0)))</f>
        <v>1</v>
      </c>
      <c r="H41" s="45" t="n">
        <f aca="false">MAX(G41,MAX(1,ROUNDUP(H13/(cap_ligne*seuil_ligne),0)))</f>
        <v>1</v>
      </c>
      <c r="I41" s="45" t="n">
        <f aca="false">MAX(H41,MAX(1,ROUNDUP(I13/(cap_ligne*seuil_ligne),0)))</f>
        <v>1</v>
      </c>
      <c r="J41" s="45" t="n">
        <f aca="false">MAX(I41,MAX(1,ROUNDUP(J13/(cap_ligne*seuil_ligne),0)))</f>
        <v>1</v>
      </c>
      <c r="K41" s="45" t="n">
        <f aca="false">MAX(J41,MAX(1,ROUNDUP(K13/(cap_ligne*seuil_ligne),0)))</f>
        <v>1</v>
      </c>
      <c r="L41" s="45" t="n">
        <f aca="false">MAX(K41,MAX(1,ROUNDUP(L13/(cap_ligne*seuil_ligne),0)))</f>
        <v>1</v>
      </c>
      <c r="M41" s="45" t="n">
        <f aca="false">MAX(L41,MAX(1,ROUNDUP(M13/(cap_ligne*seuil_ligne),0)))</f>
        <v>1</v>
      </c>
      <c r="N41" s="45" t="n">
        <f aca="false">MAX(M41,MAX(1,ROUNDUP(N13/(cap_ligne*seuil_ligne),0)))</f>
        <v>1</v>
      </c>
      <c r="O41" s="45" t="n">
        <f aca="false">MAX(N41,MAX(1,ROUNDUP(O13/(cap_ligne*seuil_ligne),0)))</f>
        <v>1</v>
      </c>
      <c r="P41" s="45" t="n">
        <f aca="false">MAX(O41,MAX(1,ROUNDUP(P13/(cap_ligne*seuil_ligne),0)))</f>
        <v>1</v>
      </c>
      <c r="Q41" s="45" t="n">
        <f aca="false">MAX(P41,MAX(1,ROUNDUP(Q13/(cap_ligne*seuil_ligne),0)))</f>
        <v>1</v>
      </c>
      <c r="R41" s="45" t="n">
        <f aca="false">MAX(Q41,MAX(1,ROUNDUP(R13/(cap_ligne*seuil_ligne),0)))</f>
        <v>1</v>
      </c>
      <c r="S41" s="45" t="n">
        <f aca="false">MAX(R41,MAX(1,ROUNDUP(S13/(cap_ligne*seuil_ligne),0)))</f>
        <v>1</v>
      </c>
      <c r="T41" s="45" t="n">
        <f aca="false">MAX(S41,MAX(1,ROUNDUP(T13/(cap_ligne*seuil_ligne),0)))</f>
        <v>1</v>
      </c>
      <c r="U41" s="45" t="n">
        <f aca="false">MAX(T41,MAX(1,ROUNDUP(U13/(cap_ligne*seuil_ligne),0)))</f>
        <v>1</v>
      </c>
      <c r="V41" s="45" t="n">
        <f aca="false">MAX(U41,MAX(1,ROUNDUP(V13/(cap_ligne*seuil_ligne),0)))</f>
        <v>1</v>
      </c>
      <c r="W41" s="45" t="n">
        <f aca="false">MAX(V41,MAX(1,ROUNDUP(W13/(cap_ligne*seuil_ligne),0)))</f>
        <v>1</v>
      </c>
      <c r="X41" s="45" t="n">
        <f aca="false">MAX(W41,MAX(1,ROUNDUP(X13/(cap_ligne*seuil_ligne),0)))</f>
        <v>1</v>
      </c>
      <c r="Y41" s="45" t="n">
        <f aca="false">MAX(X41,MAX(1,ROUNDUP(Y13/(cap_ligne*seuil_ligne),0)))</f>
        <v>1</v>
      </c>
      <c r="Z41" s="45" t="n">
        <f aca="false">MAX(Y41,MAX(1,ROUNDUP(Z13/(cap_ligne*seuil_ligne),0)))</f>
        <v>1</v>
      </c>
      <c r="AA41" s="45" t="n">
        <f aca="false">MAX(Z41,MAX(1,ROUNDUP(AA13/(cap_ligne*seuil_ligne),0)))</f>
        <v>2</v>
      </c>
      <c r="AB41" s="45" t="n">
        <f aca="false">MAX(AA41,MAX(1,ROUNDUP(AB13/(cap_ligne*seuil_ligne),0)))</f>
        <v>2</v>
      </c>
      <c r="AC41" s="45" t="n">
        <f aca="false">MAX(AB41,MAX(1,ROUNDUP(AC13/(cap_ligne*seuil_ligne),0)))</f>
        <v>2</v>
      </c>
      <c r="AD41" s="45" t="n">
        <f aca="false">MAX(AC41,MAX(1,ROUNDUP(AD13/(cap_ligne*seuil_ligne),0)))</f>
        <v>2</v>
      </c>
      <c r="AE41" s="45" t="n">
        <f aca="false">MAX(AD41,MAX(1,ROUNDUP(AE13/(cap_ligne*seuil_ligne),0)))</f>
        <v>2</v>
      </c>
      <c r="AF41" s="45" t="n">
        <f aca="false">MAX(AE41,MAX(1,ROUNDUP(AF13/(cap_ligne*seuil_ligne),0)))</f>
        <v>2</v>
      </c>
      <c r="AG41" s="45" t="n">
        <f aca="false">MAX(AF41,MAX(1,ROUNDUP(AG13/(cap_ligne*seuil_ligne),0)))</f>
        <v>2</v>
      </c>
      <c r="AH41" s="45" t="n">
        <f aca="false">MAX(AG41,MAX(1,ROUNDUP(AH13/(cap_ligne*seuil_ligne),0)))</f>
        <v>2</v>
      </c>
      <c r="AI41" s="45" t="n">
        <f aca="false">MAX(AH41,MAX(1,ROUNDUP(AI13/(cap_ligne*seuil_ligne),0)))</f>
        <v>2</v>
      </c>
      <c r="AJ41" s="45" t="n">
        <f aca="false">MAX(AI41,MAX(1,ROUNDUP(AJ13/(cap_ligne*seuil_ligne),0)))</f>
        <v>2</v>
      </c>
      <c r="AK41" s="45" t="n">
        <f aca="false">MAX(AJ41,MAX(1,ROUNDUP(AK13/(cap_ligne*seuil_ligne),0)))</f>
        <v>2</v>
      </c>
      <c r="AL41" s="45" t="n">
        <f aca="false">MAX(AK41,MAX(1,ROUNDUP(AL13/(cap_ligne*seuil_ligne),0)))</f>
        <v>2</v>
      </c>
      <c r="AM41" s="45" t="n">
        <f aca="false">MAX(AL41,MAX(1,ROUNDUP(AM13/(cap_ligne*seuil_ligne),0)))</f>
        <v>2</v>
      </c>
      <c r="AO41" s="45" t="n">
        <f aca="false">INDEX($D41:$AM41,(AO$4-annee_debut)*12+12)</f>
        <v>1</v>
      </c>
      <c r="AP41" s="45" t="n">
        <f aca="false">INDEX($D41:$AM41,(AP$4-annee_debut)*12+12)</f>
        <v>2</v>
      </c>
      <c r="AQ41" s="45" t="n">
        <f aca="false">INDEX($D41:$AM41,(AQ$4-annee_debut)*12+12)</f>
        <v>2</v>
      </c>
    </row>
    <row r="42" customFormat="false" ht="15" hidden="false" customHeight="false" outlineLevel="0" collapsed="false">
      <c r="A42" s="10" t="s">
        <v>143</v>
      </c>
      <c r="B42" s="13" t="s">
        <v>71</v>
      </c>
      <c r="C42" s="50" t="n">
        <v>0</v>
      </c>
      <c r="D42" s="45" t="n">
        <f aca="false">loyer*D15</f>
        <v>4200</v>
      </c>
      <c r="E42" s="45" t="n">
        <f aca="false">loyer*E15</f>
        <v>4200</v>
      </c>
      <c r="F42" s="45" t="n">
        <f aca="false">loyer*F15</f>
        <v>4200</v>
      </c>
      <c r="G42" s="45" t="n">
        <f aca="false">loyer*G15</f>
        <v>4200</v>
      </c>
      <c r="H42" s="45" t="n">
        <f aca="false">loyer*H15</f>
        <v>4200</v>
      </c>
      <c r="I42" s="45" t="n">
        <f aca="false">loyer*I15</f>
        <v>4200</v>
      </c>
      <c r="J42" s="45" t="n">
        <f aca="false">loyer*J15</f>
        <v>4200</v>
      </c>
      <c r="K42" s="45" t="n">
        <f aca="false">loyer*K15</f>
        <v>4200</v>
      </c>
      <c r="L42" s="45" t="n">
        <f aca="false">loyer*L15</f>
        <v>4200</v>
      </c>
      <c r="M42" s="45" t="n">
        <f aca="false">loyer*M15</f>
        <v>4200</v>
      </c>
      <c r="N42" s="45" t="n">
        <f aca="false">loyer*N15</f>
        <v>4200</v>
      </c>
      <c r="O42" s="45" t="n">
        <f aca="false">loyer*O15</f>
        <v>4200</v>
      </c>
      <c r="P42" s="45" t="n">
        <f aca="false">loyer*P15</f>
        <v>4284</v>
      </c>
      <c r="Q42" s="45" t="n">
        <f aca="false">loyer*Q15</f>
        <v>4284</v>
      </c>
      <c r="R42" s="45" t="n">
        <f aca="false">loyer*R15</f>
        <v>4284</v>
      </c>
      <c r="S42" s="45" t="n">
        <f aca="false">loyer*S15</f>
        <v>4284</v>
      </c>
      <c r="T42" s="45" t="n">
        <f aca="false">loyer*T15</f>
        <v>4284</v>
      </c>
      <c r="U42" s="45" t="n">
        <f aca="false">loyer*U15</f>
        <v>4284</v>
      </c>
      <c r="V42" s="45" t="n">
        <f aca="false">loyer*V15</f>
        <v>4284</v>
      </c>
      <c r="W42" s="45" t="n">
        <f aca="false">loyer*W15</f>
        <v>4284</v>
      </c>
      <c r="X42" s="45" t="n">
        <f aca="false">loyer*X15</f>
        <v>4284</v>
      </c>
      <c r="Y42" s="45" t="n">
        <f aca="false">loyer*Y15</f>
        <v>4284</v>
      </c>
      <c r="Z42" s="45" t="n">
        <f aca="false">loyer*Z15</f>
        <v>4284</v>
      </c>
      <c r="AA42" s="45" t="n">
        <f aca="false">loyer*AA15</f>
        <v>4284</v>
      </c>
      <c r="AB42" s="45" t="n">
        <f aca="false">loyer*AB15</f>
        <v>4369.68</v>
      </c>
      <c r="AC42" s="45" t="n">
        <f aca="false">loyer*AC15</f>
        <v>4369.68</v>
      </c>
      <c r="AD42" s="45" t="n">
        <f aca="false">loyer*AD15</f>
        <v>4369.68</v>
      </c>
      <c r="AE42" s="45" t="n">
        <f aca="false">loyer*AE15</f>
        <v>4369.68</v>
      </c>
      <c r="AF42" s="45" t="n">
        <f aca="false">loyer*AF15</f>
        <v>4369.68</v>
      </c>
      <c r="AG42" s="45" t="n">
        <f aca="false">loyer*AG15</f>
        <v>4369.68</v>
      </c>
      <c r="AH42" s="45" t="n">
        <f aca="false">loyer*AH15</f>
        <v>4369.68</v>
      </c>
      <c r="AI42" s="45" t="n">
        <f aca="false">loyer*AI15</f>
        <v>4369.68</v>
      </c>
      <c r="AJ42" s="45" t="n">
        <f aca="false">loyer*AJ15</f>
        <v>4369.68</v>
      </c>
      <c r="AK42" s="45" t="n">
        <f aca="false">loyer*AK15</f>
        <v>4369.68</v>
      </c>
      <c r="AL42" s="45" t="n">
        <f aca="false">loyer*AL15</f>
        <v>4369.68</v>
      </c>
      <c r="AM42" s="45" t="n">
        <f aca="false">loyer*AM15</f>
        <v>4369.68</v>
      </c>
      <c r="AO42" s="45" t="n">
        <f aca="false">SUMIF($D$4:$AM$4,AO$4,$D42:$AM42)</f>
        <v>50400</v>
      </c>
      <c r="AP42" s="45" t="n">
        <f aca="false">SUMIF($D$4:$AM$4,AP$4,$D42:$AM42)</f>
        <v>51408</v>
      </c>
      <c r="AQ42" s="45" t="n">
        <f aca="false">SUMIF($D$4:$AM$4,AQ$4,$D42:$AM42)</f>
        <v>52436.16</v>
      </c>
    </row>
    <row r="43" customFormat="false" ht="15" hidden="false" customHeight="false" outlineLevel="0" collapsed="false">
      <c r="A43" s="10" t="s">
        <v>408</v>
      </c>
      <c r="B43" s="13" t="s">
        <v>71</v>
      </c>
      <c r="C43" s="50" t="n">
        <v>0</v>
      </c>
      <c r="D43" s="45" t="n">
        <f aca="false">D41*energie_ligne*D15</f>
        <v>600</v>
      </c>
      <c r="E43" s="45" t="n">
        <f aca="false">E41*energie_ligne*E15</f>
        <v>600</v>
      </c>
      <c r="F43" s="45" t="n">
        <f aca="false">F41*energie_ligne*F15</f>
        <v>600</v>
      </c>
      <c r="G43" s="45" t="n">
        <f aca="false">G41*energie_ligne*G15</f>
        <v>600</v>
      </c>
      <c r="H43" s="45" t="n">
        <f aca="false">H41*energie_ligne*H15</f>
        <v>600</v>
      </c>
      <c r="I43" s="45" t="n">
        <f aca="false">I41*energie_ligne*I15</f>
        <v>600</v>
      </c>
      <c r="J43" s="45" t="n">
        <f aca="false">J41*energie_ligne*J15</f>
        <v>600</v>
      </c>
      <c r="K43" s="45" t="n">
        <f aca="false">K41*energie_ligne*K15</f>
        <v>600</v>
      </c>
      <c r="L43" s="45" t="n">
        <f aca="false">L41*energie_ligne*L15</f>
        <v>600</v>
      </c>
      <c r="M43" s="45" t="n">
        <f aca="false">M41*energie_ligne*M15</f>
        <v>600</v>
      </c>
      <c r="N43" s="45" t="n">
        <f aca="false">N41*energie_ligne*N15</f>
        <v>600</v>
      </c>
      <c r="O43" s="45" t="n">
        <f aca="false">O41*energie_ligne*O15</f>
        <v>600</v>
      </c>
      <c r="P43" s="45" t="n">
        <f aca="false">P41*energie_ligne*P15</f>
        <v>612</v>
      </c>
      <c r="Q43" s="45" t="n">
        <f aca="false">Q41*energie_ligne*Q15</f>
        <v>612</v>
      </c>
      <c r="R43" s="45" t="n">
        <f aca="false">R41*energie_ligne*R15</f>
        <v>612</v>
      </c>
      <c r="S43" s="45" t="n">
        <f aca="false">S41*energie_ligne*S15</f>
        <v>612</v>
      </c>
      <c r="T43" s="45" t="n">
        <f aca="false">T41*energie_ligne*T15</f>
        <v>612</v>
      </c>
      <c r="U43" s="45" t="n">
        <f aca="false">U41*energie_ligne*U15</f>
        <v>612</v>
      </c>
      <c r="V43" s="45" t="n">
        <f aca="false">V41*energie_ligne*V15</f>
        <v>612</v>
      </c>
      <c r="W43" s="45" t="n">
        <f aca="false">W41*energie_ligne*W15</f>
        <v>612</v>
      </c>
      <c r="X43" s="45" t="n">
        <f aca="false">X41*energie_ligne*X15</f>
        <v>612</v>
      </c>
      <c r="Y43" s="45" t="n">
        <f aca="false">Y41*energie_ligne*Y15</f>
        <v>612</v>
      </c>
      <c r="Z43" s="45" t="n">
        <f aca="false">Z41*energie_ligne*Z15</f>
        <v>612</v>
      </c>
      <c r="AA43" s="45" t="n">
        <f aca="false">AA41*energie_ligne*AA15</f>
        <v>1224</v>
      </c>
      <c r="AB43" s="45" t="n">
        <f aca="false">AB41*energie_ligne*AB15</f>
        <v>1248.48</v>
      </c>
      <c r="AC43" s="45" t="n">
        <f aca="false">AC41*energie_ligne*AC15</f>
        <v>1248.48</v>
      </c>
      <c r="AD43" s="45" t="n">
        <f aca="false">AD41*energie_ligne*AD15</f>
        <v>1248.48</v>
      </c>
      <c r="AE43" s="45" t="n">
        <f aca="false">AE41*energie_ligne*AE15</f>
        <v>1248.48</v>
      </c>
      <c r="AF43" s="45" t="n">
        <f aca="false">AF41*energie_ligne*AF15</f>
        <v>1248.48</v>
      </c>
      <c r="AG43" s="45" t="n">
        <f aca="false">AG41*energie_ligne*AG15</f>
        <v>1248.48</v>
      </c>
      <c r="AH43" s="45" t="n">
        <f aca="false">AH41*energie_ligne*AH15</f>
        <v>1248.48</v>
      </c>
      <c r="AI43" s="45" t="n">
        <f aca="false">AI41*energie_ligne*AI15</f>
        <v>1248.48</v>
      </c>
      <c r="AJ43" s="45" t="n">
        <f aca="false">AJ41*energie_ligne*AJ15</f>
        <v>1248.48</v>
      </c>
      <c r="AK43" s="45" t="n">
        <f aca="false">AK41*energie_ligne*AK15</f>
        <v>1248.48</v>
      </c>
      <c r="AL43" s="45" t="n">
        <f aca="false">AL41*energie_ligne*AL15</f>
        <v>1248.48</v>
      </c>
      <c r="AM43" s="45" t="n">
        <f aca="false">AM41*energie_ligne*AM15</f>
        <v>1248.48</v>
      </c>
      <c r="AO43" s="45" t="n">
        <f aca="false">SUMIF($D$4:$AM$4,AO$4,$D43:$AM43)</f>
        <v>7200</v>
      </c>
      <c r="AP43" s="45" t="n">
        <f aca="false">SUMIF($D$4:$AM$4,AP$4,$D43:$AM43)</f>
        <v>7956</v>
      </c>
      <c r="AQ43" s="45" t="n">
        <f aca="false">SUMIF($D$4:$AM$4,AQ$4,$D43:$AM43)</f>
        <v>14981.76</v>
      </c>
    </row>
    <row r="44" customFormat="false" ht="15" hidden="false" customHeight="false" outlineLevel="0" collapsed="false">
      <c r="A44" s="10" t="s">
        <v>409</v>
      </c>
      <c r="B44" s="13" t="s">
        <v>71</v>
      </c>
      <c r="C44" s="50" t="n">
        <v>0</v>
      </c>
      <c r="D44" s="45" t="n">
        <f aca="false">D29*vehicule*D15</f>
        <v>750</v>
      </c>
      <c r="E44" s="45" t="n">
        <f aca="false">E29*vehicule*E15</f>
        <v>750</v>
      </c>
      <c r="F44" s="45" t="n">
        <f aca="false">F29*vehicule*F15</f>
        <v>750</v>
      </c>
      <c r="G44" s="45" t="n">
        <f aca="false">G29*vehicule*G15</f>
        <v>750</v>
      </c>
      <c r="H44" s="45" t="n">
        <f aca="false">H29*vehicule*H15</f>
        <v>750</v>
      </c>
      <c r="I44" s="45" t="n">
        <f aca="false">I29*vehicule*I15</f>
        <v>750</v>
      </c>
      <c r="J44" s="45" t="n">
        <f aca="false">J29*vehicule*J15</f>
        <v>750</v>
      </c>
      <c r="K44" s="45" t="n">
        <f aca="false">K29*vehicule*K15</f>
        <v>750</v>
      </c>
      <c r="L44" s="45" t="n">
        <f aca="false">L29*vehicule*L15</f>
        <v>750</v>
      </c>
      <c r="M44" s="45" t="n">
        <f aca="false">M29*vehicule*M15</f>
        <v>750</v>
      </c>
      <c r="N44" s="45" t="n">
        <f aca="false">N29*vehicule*N15</f>
        <v>750</v>
      </c>
      <c r="O44" s="45" t="n">
        <f aca="false">O29*vehicule*O15</f>
        <v>750</v>
      </c>
      <c r="P44" s="45" t="n">
        <f aca="false">P29*vehicule*P15</f>
        <v>765</v>
      </c>
      <c r="Q44" s="45" t="n">
        <f aca="false">Q29*vehicule*Q15</f>
        <v>1530</v>
      </c>
      <c r="R44" s="45" t="n">
        <f aca="false">R29*vehicule*R15</f>
        <v>1530</v>
      </c>
      <c r="S44" s="45" t="n">
        <f aca="false">S29*vehicule*S15</f>
        <v>1530</v>
      </c>
      <c r="T44" s="45" t="n">
        <f aca="false">T29*vehicule*T15</f>
        <v>1530</v>
      </c>
      <c r="U44" s="45" t="n">
        <f aca="false">U29*vehicule*U15</f>
        <v>1530</v>
      </c>
      <c r="V44" s="45" t="n">
        <f aca="false">V29*vehicule*V15</f>
        <v>1530</v>
      </c>
      <c r="W44" s="45" t="n">
        <f aca="false">W29*vehicule*W15</f>
        <v>1530</v>
      </c>
      <c r="X44" s="45" t="n">
        <f aca="false">X29*vehicule*X15</f>
        <v>2295</v>
      </c>
      <c r="Y44" s="45" t="n">
        <f aca="false">Y29*vehicule*Y15</f>
        <v>2295</v>
      </c>
      <c r="Z44" s="45" t="n">
        <f aca="false">Z29*vehicule*Z15</f>
        <v>2295</v>
      </c>
      <c r="AA44" s="45" t="n">
        <f aca="false">AA29*vehicule*AA15</f>
        <v>2295</v>
      </c>
      <c r="AB44" s="45" t="n">
        <f aca="false">AB29*vehicule*AB15</f>
        <v>2340.9</v>
      </c>
      <c r="AC44" s="45" t="n">
        <f aca="false">AC29*vehicule*AC15</f>
        <v>2340.9</v>
      </c>
      <c r="AD44" s="45" t="n">
        <f aca="false">AD29*vehicule*AD15</f>
        <v>3121.2</v>
      </c>
      <c r="AE44" s="45" t="n">
        <f aca="false">AE29*vehicule*AE15</f>
        <v>3121.2</v>
      </c>
      <c r="AF44" s="45" t="n">
        <f aca="false">AF29*vehicule*AF15</f>
        <v>3121.2</v>
      </c>
      <c r="AG44" s="45" t="n">
        <f aca="false">AG29*vehicule*AG15</f>
        <v>3121.2</v>
      </c>
      <c r="AH44" s="45" t="n">
        <f aca="false">AH29*vehicule*AH15</f>
        <v>3121.2</v>
      </c>
      <c r="AI44" s="45" t="n">
        <f aca="false">AI29*vehicule*AI15</f>
        <v>3121.2</v>
      </c>
      <c r="AJ44" s="45" t="n">
        <f aca="false">AJ29*vehicule*AJ15</f>
        <v>3901.5</v>
      </c>
      <c r="AK44" s="45" t="n">
        <f aca="false">AK29*vehicule*AK15</f>
        <v>3901.5</v>
      </c>
      <c r="AL44" s="45" t="n">
        <f aca="false">AL29*vehicule*AL15</f>
        <v>3901.5</v>
      </c>
      <c r="AM44" s="45" t="n">
        <f aca="false">AM29*vehicule*AM15</f>
        <v>3901.5</v>
      </c>
      <c r="AO44" s="45" t="n">
        <f aca="false">SUMIF($D$4:$AM$4,AO$4,$D44:$AM44)</f>
        <v>9000</v>
      </c>
      <c r="AP44" s="45" t="n">
        <f aca="false">SUMIF($D$4:$AM$4,AP$4,$D44:$AM44)</f>
        <v>20655</v>
      </c>
      <c r="AQ44" s="45" t="n">
        <f aca="false">SUMIF($D$4:$AM$4,AQ$4,$D44:$AM44)</f>
        <v>39015</v>
      </c>
    </row>
    <row r="45" customFormat="false" ht="15" hidden="false" customHeight="false" outlineLevel="0" collapsed="false">
      <c r="A45" s="10" t="s">
        <v>410</v>
      </c>
      <c r="B45" s="13" t="s">
        <v>71</v>
      </c>
      <c r="C45" s="50" t="n">
        <v>0</v>
      </c>
      <c r="D45" s="45" t="n">
        <f aca="false">(assurances+logiciels+honoraires)*D15</f>
        <v>2000</v>
      </c>
      <c r="E45" s="45" t="n">
        <f aca="false">(assurances+logiciels+honoraires)*E15</f>
        <v>2000</v>
      </c>
      <c r="F45" s="45" t="n">
        <f aca="false">(assurances+logiciels+honoraires)*F15</f>
        <v>2000</v>
      </c>
      <c r="G45" s="45" t="n">
        <f aca="false">(assurances+logiciels+honoraires)*G15</f>
        <v>2000</v>
      </c>
      <c r="H45" s="45" t="n">
        <f aca="false">(assurances+logiciels+honoraires)*H15</f>
        <v>2000</v>
      </c>
      <c r="I45" s="45" t="n">
        <f aca="false">(assurances+logiciels+honoraires)*I15</f>
        <v>2000</v>
      </c>
      <c r="J45" s="45" t="n">
        <f aca="false">(assurances+logiciels+honoraires)*J15</f>
        <v>2000</v>
      </c>
      <c r="K45" s="45" t="n">
        <f aca="false">(assurances+logiciels+honoraires)*K15</f>
        <v>2000</v>
      </c>
      <c r="L45" s="45" t="n">
        <f aca="false">(assurances+logiciels+honoraires)*L15</f>
        <v>2000</v>
      </c>
      <c r="M45" s="45" t="n">
        <f aca="false">(assurances+logiciels+honoraires)*M15</f>
        <v>2000</v>
      </c>
      <c r="N45" s="45" t="n">
        <f aca="false">(assurances+logiciels+honoraires)*N15</f>
        <v>2000</v>
      </c>
      <c r="O45" s="45" t="n">
        <f aca="false">(assurances+logiciels+honoraires)*O15</f>
        <v>2000</v>
      </c>
      <c r="P45" s="45" t="n">
        <f aca="false">(assurances+logiciels+honoraires)*P15</f>
        <v>2040</v>
      </c>
      <c r="Q45" s="45" t="n">
        <f aca="false">(assurances+logiciels+honoraires)*Q15</f>
        <v>2040</v>
      </c>
      <c r="R45" s="45" t="n">
        <f aca="false">(assurances+logiciels+honoraires)*R15</f>
        <v>2040</v>
      </c>
      <c r="S45" s="45" t="n">
        <f aca="false">(assurances+logiciels+honoraires)*S15</f>
        <v>2040</v>
      </c>
      <c r="T45" s="45" t="n">
        <f aca="false">(assurances+logiciels+honoraires)*T15</f>
        <v>2040</v>
      </c>
      <c r="U45" s="45" t="n">
        <f aca="false">(assurances+logiciels+honoraires)*U15</f>
        <v>2040</v>
      </c>
      <c r="V45" s="45" t="n">
        <f aca="false">(assurances+logiciels+honoraires)*V15</f>
        <v>2040</v>
      </c>
      <c r="W45" s="45" t="n">
        <f aca="false">(assurances+logiciels+honoraires)*W15</f>
        <v>2040</v>
      </c>
      <c r="X45" s="45" t="n">
        <f aca="false">(assurances+logiciels+honoraires)*X15</f>
        <v>2040</v>
      </c>
      <c r="Y45" s="45" t="n">
        <f aca="false">(assurances+logiciels+honoraires)*Y15</f>
        <v>2040</v>
      </c>
      <c r="Z45" s="45" t="n">
        <f aca="false">(assurances+logiciels+honoraires)*Z15</f>
        <v>2040</v>
      </c>
      <c r="AA45" s="45" t="n">
        <f aca="false">(assurances+logiciels+honoraires)*AA15</f>
        <v>2040</v>
      </c>
      <c r="AB45" s="45" t="n">
        <f aca="false">(assurances+logiciels+honoraires)*AB15</f>
        <v>2080.8</v>
      </c>
      <c r="AC45" s="45" t="n">
        <f aca="false">(assurances+logiciels+honoraires)*AC15</f>
        <v>2080.8</v>
      </c>
      <c r="AD45" s="45" t="n">
        <f aca="false">(assurances+logiciels+honoraires)*AD15</f>
        <v>2080.8</v>
      </c>
      <c r="AE45" s="45" t="n">
        <f aca="false">(assurances+logiciels+honoraires)*AE15</f>
        <v>2080.8</v>
      </c>
      <c r="AF45" s="45" t="n">
        <f aca="false">(assurances+logiciels+honoraires)*AF15</f>
        <v>2080.8</v>
      </c>
      <c r="AG45" s="45" t="n">
        <f aca="false">(assurances+logiciels+honoraires)*AG15</f>
        <v>2080.8</v>
      </c>
      <c r="AH45" s="45" t="n">
        <f aca="false">(assurances+logiciels+honoraires)*AH15</f>
        <v>2080.8</v>
      </c>
      <c r="AI45" s="45" t="n">
        <f aca="false">(assurances+logiciels+honoraires)*AI15</f>
        <v>2080.8</v>
      </c>
      <c r="AJ45" s="45" t="n">
        <f aca="false">(assurances+logiciels+honoraires)*AJ15</f>
        <v>2080.8</v>
      </c>
      <c r="AK45" s="45" t="n">
        <f aca="false">(assurances+logiciels+honoraires)*AK15</f>
        <v>2080.8</v>
      </c>
      <c r="AL45" s="45" t="n">
        <f aca="false">(assurances+logiciels+honoraires)*AL15</f>
        <v>2080.8</v>
      </c>
      <c r="AM45" s="45" t="n">
        <f aca="false">(assurances+logiciels+honoraires)*AM15</f>
        <v>2080.8</v>
      </c>
      <c r="AO45" s="45" t="n">
        <f aca="false">SUMIF($D$4:$AM$4,AO$4,$D45:$AM45)</f>
        <v>24000</v>
      </c>
      <c r="AP45" s="45" t="n">
        <f aca="false">SUMIF($D$4:$AM$4,AP$4,$D45:$AM45)</f>
        <v>24480</v>
      </c>
      <c r="AQ45" s="45" t="n">
        <f aca="false">SUMIF($D$4:$AM$4,AQ$4,$D45:$AM45)</f>
        <v>24969.6</v>
      </c>
    </row>
    <row r="46" customFormat="false" ht="15" hidden="false" customHeight="false" outlineLevel="0" collapsed="false">
      <c r="A46" s="10" t="s">
        <v>411</v>
      </c>
      <c r="B46" s="13" t="s">
        <v>71</v>
      </c>
      <c r="C46" s="50" t="n">
        <v>0</v>
      </c>
      <c r="D46" s="45" t="n">
        <f aca="false">CHOOSE(D$4-annee_debut+1,marketing_a1,marketing_a2,marketing_a3)*D15</f>
        <v>1500</v>
      </c>
      <c r="E46" s="45" t="n">
        <f aca="false">CHOOSE(E$4-annee_debut+1,marketing_a1,marketing_a2,marketing_a3)*E15</f>
        <v>1500</v>
      </c>
      <c r="F46" s="45" t="n">
        <f aca="false">CHOOSE(F$4-annee_debut+1,marketing_a1,marketing_a2,marketing_a3)*F15</f>
        <v>1500</v>
      </c>
      <c r="G46" s="45" t="n">
        <f aca="false">CHOOSE(G$4-annee_debut+1,marketing_a1,marketing_a2,marketing_a3)*G15</f>
        <v>1500</v>
      </c>
      <c r="H46" s="45" t="n">
        <f aca="false">CHOOSE(H$4-annee_debut+1,marketing_a1,marketing_a2,marketing_a3)*H15</f>
        <v>1500</v>
      </c>
      <c r="I46" s="45" t="n">
        <f aca="false">CHOOSE(I$4-annee_debut+1,marketing_a1,marketing_a2,marketing_a3)*I15</f>
        <v>1500</v>
      </c>
      <c r="J46" s="45" t="n">
        <f aca="false">CHOOSE(J$4-annee_debut+1,marketing_a1,marketing_a2,marketing_a3)*J15</f>
        <v>1500</v>
      </c>
      <c r="K46" s="45" t="n">
        <f aca="false">CHOOSE(K$4-annee_debut+1,marketing_a1,marketing_a2,marketing_a3)*K15</f>
        <v>1500</v>
      </c>
      <c r="L46" s="45" t="n">
        <f aca="false">CHOOSE(L$4-annee_debut+1,marketing_a1,marketing_a2,marketing_a3)*L15</f>
        <v>1500</v>
      </c>
      <c r="M46" s="45" t="n">
        <f aca="false">CHOOSE(M$4-annee_debut+1,marketing_a1,marketing_a2,marketing_a3)*M15</f>
        <v>1500</v>
      </c>
      <c r="N46" s="45" t="n">
        <f aca="false">CHOOSE(N$4-annee_debut+1,marketing_a1,marketing_a2,marketing_a3)*N15</f>
        <v>1500</v>
      </c>
      <c r="O46" s="45" t="n">
        <f aca="false">CHOOSE(O$4-annee_debut+1,marketing_a1,marketing_a2,marketing_a3)*O15</f>
        <v>1500</v>
      </c>
      <c r="P46" s="45" t="n">
        <f aca="false">CHOOSE(P$4-annee_debut+1,marketing_a1,marketing_a2,marketing_a3)*P15</f>
        <v>2040</v>
      </c>
      <c r="Q46" s="45" t="n">
        <f aca="false">CHOOSE(Q$4-annee_debut+1,marketing_a1,marketing_a2,marketing_a3)*Q15</f>
        <v>2040</v>
      </c>
      <c r="R46" s="45" t="n">
        <f aca="false">CHOOSE(R$4-annee_debut+1,marketing_a1,marketing_a2,marketing_a3)*R15</f>
        <v>2040</v>
      </c>
      <c r="S46" s="45" t="n">
        <f aca="false">CHOOSE(S$4-annee_debut+1,marketing_a1,marketing_a2,marketing_a3)*S15</f>
        <v>2040</v>
      </c>
      <c r="T46" s="45" t="n">
        <f aca="false">CHOOSE(T$4-annee_debut+1,marketing_a1,marketing_a2,marketing_a3)*T15</f>
        <v>2040</v>
      </c>
      <c r="U46" s="45" t="n">
        <f aca="false">CHOOSE(U$4-annee_debut+1,marketing_a1,marketing_a2,marketing_a3)*U15</f>
        <v>2040</v>
      </c>
      <c r="V46" s="45" t="n">
        <f aca="false">CHOOSE(V$4-annee_debut+1,marketing_a1,marketing_a2,marketing_a3)*V15</f>
        <v>2040</v>
      </c>
      <c r="W46" s="45" t="n">
        <f aca="false">CHOOSE(W$4-annee_debut+1,marketing_a1,marketing_a2,marketing_a3)*W15</f>
        <v>2040</v>
      </c>
      <c r="X46" s="45" t="n">
        <f aca="false">CHOOSE(X$4-annee_debut+1,marketing_a1,marketing_a2,marketing_a3)*X15</f>
        <v>2040</v>
      </c>
      <c r="Y46" s="45" t="n">
        <f aca="false">CHOOSE(Y$4-annee_debut+1,marketing_a1,marketing_a2,marketing_a3)*Y15</f>
        <v>2040</v>
      </c>
      <c r="Z46" s="45" t="n">
        <f aca="false">CHOOSE(Z$4-annee_debut+1,marketing_a1,marketing_a2,marketing_a3)*Z15</f>
        <v>2040</v>
      </c>
      <c r="AA46" s="45" t="n">
        <f aca="false">CHOOSE(AA$4-annee_debut+1,marketing_a1,marketing_a2,marketing_a3)*AA15</f>
        <v>2040</v>
      </c>
      <c r="AB46" s="45" t="n">
        <f aca="false">CHOOSE(AB$4-annee_debut+1,marketing_a1,marketing_a2,marketing_a3)*AB15</f>
        <v>2601</v>
      </c>
      <c r="AC46" s="45" t="n">
        <f aca="false">CHOOSE(AC$4-annee_debut+1,marketing_a1,marketing_a2,marketing_a3)*AC15</f>
        <v>2601</v>
      </c>
      <c r="AD46" s="45" t="n">
        <f aca="false">CHOOSE(AD$4-annee_debut+1,marketing_a1,marketing_a2,marketing_a3)*AD15</f>
        <v>2601</v>
      </c>
      <c r="AE46" s="45" t="n">
        <f aca="false">CHOOSE(AE$4-annee_debut+1,marketing_a1,marketing_a2,marketing_a3)*AE15</f>
        <v>2601</v>
      </c>
      <c r="AF46" s="45" t="n">
        <f aca="false">CHOOSE(AF$4-annee_debut+1,marketing_a1,marketing_a2,marketing_a3)*AF15</f>
        <v>2601</v>
      </c>
      <c r="AG46" s="45" t="n">
        <f aca="false">CHOOSE(AG$4-annee_debut+1,marketing_a1,marketing_a2,marketing_a3)*AG15</f>
        <v>2601</v>
      </c>
      <c r="AH46" s="45" t="n">
        <f aca="false">CHOOSE(AH$4-annee_debut+1,marketing_a1,marketing_a2,marketing_a3)*AH15</f>
        <v>2601</v>
      </c>
      <c r="AI46" s="45" t="n">
        <f aca="false">CHOOSE(AI$4-annee_debut+1,marketing_a1,marketing_a2,marketing_a3)*AI15</f>
        <v>2601</v>
      </c>
      <c r="AJ46" s="45" t="n">
        <f aca="false">CHOOSE(AJ$4-annee_debut+1,marketing_a1,marketing_a2,marketing_a3)*AJ15</f>
        <v>2601</v>
      </c>
      <c r="AK46" s="45" t="n">
        <f aca="false">CHOOSE(AK$4-annee_debut+1,marketing_a1,marketing_a2,marketing_a3)*AK15</f>
        <v>2601</v>
      </c>
      <c r="AL46" s="45" t="n">
        <f aca="false">CHOOSE(AL$4-annee_debut+1,marketing_a1,marketing_a2,marketing_a3)*AL15</f>
        <v>2601</v>
      </c>
      <c r="AM46" s="45" t="n">
        <f aca="false">CHOOSE(AM$4-annee_debut+1,marketing_a1,marketing_a2,marketing_a3)*AM15</f>
        <v>2601</v>
      </c>
      <c r="AO46" s="45" t="n">
        <f aca="false">SUMIF($D$4:$AM$4,AO$4,$D46:$AM46)</f>
        <v>18000</v>
      </c>
      <c r="AP46" s="45" t="n">
        <f aca="false">SUMIF($D$4:$AM$4,AP$4,$D46:$AM46)</f>
        <v>24480</v>
      </c>
      <c r="AQ46" s="45" t="n">
        <f aca="false">SUMIF($D$4:$AM$4,AQ$4,$D46:$AM46)</f>
        <v>31212</v>
      </c>
    </row>
    <row r="47" customFormat="false" ht="15" hidden="false" customHeight="false" outlineLevel="0" collapsed="false">
      <c r="A47" s="11" t="s">
        <v>412</v>
      </c>
      <c r="B47" s="13" t="s">
        <v>71</v>
      </c>
      <c r="C47" s="50" t="n">
        <v>0</v>
      </c>
      <c r="D47" s="44" t="n">
        <f aca="false">SUM(D42:D46)</f>
        <v>9050</v>
      </c>
      <c r="E47" s="44" t="n">
        <f aca="false">SUM(E42:E46)</f>
        <v>9050</v>
      </c>
      <c r="F47" s="44" t="n">
        <f aca="false">SUM(F42:F46)</f>
        <v>9050</v>
      </c>
      <c r="G47" s="44" t="n">
        <f aca="false">SUM(G42:G46)</f>
        <v>9050</v>
      </c>
      <c r="H47" s="44" t="n">
        <f aca="false">SUM(H42:H46)</f>
        <v>9050</v>
      </c>
      <c r="I47" s="44" t="n">
        <f aca="false">SUM(I42:I46)</f>
        <v>9050</v>
      </c>
      <c r="J47" s="44" t="n">
        <f aca="false">SUM(J42:J46)</f>
        <v>9050</v>
      </c>
      <c r="K47" s="44" t="n">
        <f aca="false">SUM(K42:K46)</f>
        <v>9050</v>
      </c>
      <c r="L47" s="44" t="n">
        <f aca="false">SUM(L42:L46)</f>
        <v>9050</v>
      </c>
      <c r="M47" s="44" t="n">
        <f aca="false">SUM(M42:M46)</f>
        <v>9050</v>
      </c>
      <c r="N47" s="44" t="n">
        <f aca="false">SUM(N42:N46)</f>
        <v>9050</v>
      </c>
      <c r="O47" s="44" t="n">
        <f aca="false">SUM(O42:O46)</f>
        <v>9050</v>
      </c>
      <c r="P47" s="44" t="n">
        <f aca="false">SUM(P42:P46)</f>
        <v>9741</v>
      </c>
      <c r="Q47" s="44" t="n">
        <f aca="false">SUM(Q42:Q46)</f>
        <v>10506</v>
      </c>
      <c r="R47" s="44" t="n">
        <f aca="false">SUM(R42:R46)</f>
        <v>10506</v>
      </c>
      <c r="S47" s="44" t="n">
        <f aca="false">SUM(S42:S46)</f>
        <v>10506</v>
      </c>
      <c r="T47" s="44" t="n">
        <f aca="false">SUM(T42:T46)</f>
        <v>10506</v>
      </c>
      <c r="U47" s="44" t="n">
        <f aca="false">SUM(U42:U46)</f>
        <v>10506</v>
      </c>
      <c r="V47" s="44" t="n">
        <f aca="false">SUM(V42:V46)</f>
        <v>10506</v>
      </c>
      <c r="W47" s="44" t="n">
        <f aca="false">SUM(W42:W46)</f>
        <v>10506</v>
      </c>
      <c r="X47" s="44" t="n">
        <f aca="false">SUM(X42:X46)</f>
        <v>11271</v>
      </c>
      <c r="Y47" s="44" t="n">
        <f aca="false">SUM(Y42:Y46)</f>
        <v>11271</v>
      </c>
      <c r="Z47" s="44" t="n">
        <f aca="false">SUM(Z42:Z46)</f>
        <v>11271</v>
      </c>
      <c r="AA47" s="44" t="n">
        <f aca="false">SUM(AA42:AA46)</f>
        <v>11883</v>
      </c>
      <c r="AB47" s="44" t="n">
        <f aca="false">SUM(AB42:AB46)</f>
        <v>12640.86</v>
      </c>
      <c r="AC47" s="44" t="n">
        <f aca="false">SUM(AC42:AC46)</f>
        <v>12640.86</v>
      </c>
      <c r="AD47" s="44" t="n">
        <f aca="false">SUM(AD42:AD46)</f>
        <v>13421.16</v>
      </c>
      <c r="AE47" s="44" t="n">
        <f aca="false">SUM(AE42:AE46)</f>
        <v>13421.16</v>
      </c>
      <c r="AF47" s="44" t="n">
        <f aca="false">SUM(AF42:AF46)</f>
        <v>13421.16</v>
      </c>
      <c r="AG47" s="44" t="n">
        <f aca="false">SUM(AG42:AG46)</f>
        <v>13421.16</v>
      </c>
      <c r="AH47" s="44" t="n">
        <f aca="false">SUM(AH42:AH46)</f>
        <v>13421.16</v>
      </c>
      <c r="AI47" s="44" t="n">
        <f aca="false">SUM(AI42:AI46)</f>
        <v>13421.16</v>
      </c>
      <c r="AJ47" s="44" t="n">
        <f aca="false">SUM(AJ42:AJ46)</f>
        <v>14201.46</v>
      </c>
      <c r="AK47" s="44" t="n">
        <f aca="false">SUM(AK42:AK46)</f>
        <v>14201.46</v>
      </c>
      <c r="AL47" s="44" t="n">
        <f aca="false">SUM(AL42:AL46)</f>
        <v>14201.46</v>
      </c>
      <c r="AM47" s="44" t="n">
        <f aca="false">SUM(AM42:AM46)</f>
        <v>14201.46</v>
      </c>
      <c r="AO47" s="44" t="n">
        <f aca="false">SUMIF($D$4:$AM$4,AO$4,$D47:$AM47)</f>
        <v>108600</v>
      </c>
      <c r="AP47" s="44" t="n">
        <f aca="false">SUMIF($D$4:$AM$4,AP$4,$D47:$AM47)</f>
        <v>128979</v>
      </c>
      <c r="AQ47" s="44" t="n">
        <f aca="false">SUMIF($D$4:$AM$4,AQ$4,$D47:$AM47)</f>
        <v>162614.52</v>
      </c>
    </row>
    <row r="48" customFormat="false" ht="15" hidden="false" customHeight="false" outlineLevel="0" collapsed="false">
      <c r="A48" s="11" t="s">
        <v>226</v>
      </c>
      <c r="B48" s="13" t="s">
        <v>161</v>
      </c>
      <c r="C48" s="50" t="n">
        <v>0</v>
      </c>
      <c r="D48" s="44" t="n">
        <f aca="false">D25-D39-D47</f>
        <v>-19228.3733333333</v>
      </c>
      <c r="E48" s="44" t="n">
        <f aca="false">E25-E39-E47</f>
        <v>-17926.3128533333</v>
      </c>
      <c r="F48" s="44" t="n">
        <f aca="false">F25-F39-F47</f>
        <v>-16494.5811941333</v>
      </c>
      <c r="G48" s="44" t="n">
        <f aca="false">G25-G39-G47</f>
        <v>-19919.0866114969</v>
      </c>
      <c r="H48" s="44" t="n">
        <f aca="false">H25-H39-H47</f>
        <v>-18429.4942326481</v>
      </c>
      <c r="I48" s="44" t="n">
        <f aca="false">I25-I39-I47</f>
        <v>-16889.2220584197</v>
      </c>
      <c r="J48" s="44" t="n">
        <f aca="false">J25-J39-J47</f>
        <v>-15742.0483782341</v>
      </c>
      <c r="K48" s="44" t="n">
        <f aca="false">K25-K39-K47</f>
        <v>-16538.6001702054</v>
      </c>
      <c r="L48" s="44" t="n">
        <f aca="false">L25-L39-L47</f>
        <v>-13118.7142321229</v>
      </c>
      <c r="M48" s="44" t="n">
        <f aca="false">M25-M39-M47</f>
        <v>-12042.5243031941</v>
      </c>
      <c r="N48" s="44" t="n">
        <f aca="false">N25-N39-N47</f>
        <v>-11140.0715107872</v>
      </c>
      <c r="O48" s="44" t="n">
        <f aca="false">O25-O39-O47</f>
        <v>-9680.8691104973</v>
      </c>
      <c r="P48" s="44" t="n">
        <f aca="false">P25-P39-P47</f>
        <v>-15778.5580974415</v>
      </c>
      <c r="Q48" s="44" t="n">
        <f aca="false">Q25-Q39-Q47</f>
        <v>-17126.4706002722</v>
      </c>
      <c r="R48" s="44" t="n">
        <f aca="false">R25-R39-R47</f>
        <v>-13730.0068235389</v>
      </c>
      <c r="S48" s="44" t="n">
        <f aca="false">S25-S39-S47</f>
        <v>-13670.7270162262</v>
      </c>
      <c r="T48" s="44" t="n">
        <f aca="false">T25-T39-T47</f>
        <v>-10433.2609229439</v>
      </c>
      <c r="U48" s="44" t="n">
        <f aca="false">U25-U39-U47</f>
        <v>-7099.37973264997</v>
      </c>
      <c r="V48" s="44" t="n">
        <f aca="false">V25-V39-V47</f>
        <v>-5320.56560076612</v>
      </c>
      <c r="W48" s="44" t="n">
        <f aca="false">W25-W39-W47</f>
        <v>-10199.3802932991</v>
      </c>
      <c r="X48" s="44" t="n">
        <f aca="false">X25-X39-X47</f>
        <v>-4154.83873819425</v>
      </c>
      <c r="Y48" s="44" t="n">
        <f aca="false">Y25-Y39-Y47</f>
        <v>-2376.52967510281</v>
      </c>
      <c r="Z48" s="44" t="n">
        <f aca="false">Z25-Z39-Z47</f>
        <v>-1063.28151402013</v>
      </c>
      <c r="AA48" s="44" t="n">
        <f aca="false">AA25-AA39-AA47</f>
        <v>1369.83255537366</v>
      </c>
      <c r="AB48" s="44" t="n">
        <f aca="false">AB25-AB39-AB47</f>
        <v>-6072.73307077975</v>
      </c>
      <c r="AC48" s="44" t="n">
        <f aca="false">AC25-AC39-AC47</f>
        <v>-6021.8621971304</v>
      </c>
      <c r="AD48" s="44" t="n">
        <f aca="false">AD25-AD39-AD47</f>
        <v>-4660.17654819246</v>
      </c>
      <c r="AE48" s="44" t="n">
        <f aca="false">AE25-AE39-AE47</f>
        <v>-629.266370788897</v>
      </c>
      <c r="AF48" s="44" t="n">
        <f aca="false">AF25-AF39-AF47</f>
        <v>3980.82185207156</v>
      </c>
      <c r="AG48" s="44" t="n">
        <f aca="false">AG25-AG39-AG47</f>
        <v>8707.62663965536</v>
      </c>
      <c r="AH48" s="44" t="n">
        <f aca="false">AH25-AH39-AH47</f>
        <v>10170.0624687142</v>
      </c>
      <c r="AI48" s="44" t="n">
        <f aca="false">AI25-AI39-AI47</f>
        <v>-1493.80946850964</v>
      </c>
      <c r="AJ48" s="44" t="n">
        <f aca="false">AJ25-AJ39-AJ47</f>
        <v>9362.3525612061</v>
      </c>
      <c r="AK48" s="44" t="n">
        <f aca="false">AK25-AK39-AK47</f>
        <v>11054.4873163978</v>
      </c>
      <c r="AL48" s="44" t="n">
        <f aca="false">AL25-AL39-AL47</f>
        <v>11953.3261316252</v>
      </c>
      <c r="AM48" s="44" t="n">
        <f aca="false">AM25-AM39-AM47</f>
        <v>16100.2497363818</v>
      </c>
      <c r="AO48" s="44" t="n">
        <f aca="false">SUMIF($D$4:$AM$4,AO$4,$D48:$AM48)</f>
        <v>-187149.897988406</v>
      </c>
      <c r="AP48" s="44" t="n">
        <f aca="false">SUMIF($D$4:$AM$4,AP$4,$D48:$AM48)</f>
        <v>-99583.1664590814</v>
      </c>
      <c r="AQ48" s="44" t="n">
        <f aca="false">SUMIF($D$4:$AM$4,AQ$4,$D48:$AM48)</f>
        <v>52451.0790506509</v>
      </c>
    </row>
    <row r="49" customFormat="false" ht="15" hidden="false" customHeight="false" outlineLevel="0" collapsed="false">
      <c r="A49" s="10" t="s">
        <v>227</v>
      </c>
      <c r="B49" s="13" t="s">
        <v>66</v>
      </c>
      <c r="C49" s="58" t="n">
        <v>0</v>
      </c>
      <c r="D49" s="41" t="n">
        <f aca="false">IF(D19=0,0,D48/D19)</f>
        <v>-20.1872685914261</v>
      </c>
      <c r="E49" s="41" t="n">
        <f aca="false">IF(E19=0,0,E48/E19)</f>
        <v>-6.29861979970041</v>
      </c>
      <c r="F49" s="41" t="n">
        <f aca="false">IF(F19=0,0,F48/F19)</f>
        <v>-3.33914381258398</v>
      </c>
      <c r="G49" s="41" t="n">
        <f aca="false">IF(G19=0,0,G48/G19)</f>
        <v>-2.84576454622437</v>
      </c>
      <c r="H49" s="41" t="n">
        <f aca="false">IF(H19=0,0,H48/H19)</f>
        <v>-2.00660165527947</v>
      </c>
      <c r="I49" s="41" t="n">
        <f aca="false">IF(I19=0,0,I48/I19)</f>
        <v>-1.4752688401388</v>
      </c>
      <c r="J49" s="41" t="n">
        <f aca="false">IF(J19=0,0,J48/J19)</f>
        <v>-1.20073833867047</v>
      </c>
      <c r="K49" s="41" t="n">
        <f aca="false">IF(K19=0,0,K48/K19)</f>
        <v>-1.40248249242517</v>
      </c>
      <c r="L49" s="41" t="n">
        <f aca="false">IF(L19=0,0,L48/L19)</f>
        <v>-0.774306793171072</v>
      </c>
      <c r="M49" s="41" t="n">
        <f aca="false">IF(M19=0,0,M48/M19)</f>
        <v>-0.650975591677735</v>
      </c>
      <c r="N49" s="41" t="n">
        <f aca="false">IF(N19=0,0,N48/N19)</f>
        <v>-0.562899349102476</v>
      </c>
      <c r="O49" s="41" t="n">
        <f aca="false">IF(O19=0,0,O48/O19)</f>
        <v>-0.441305818381126</v>
      </c>
      <c r="P49" s="41" t="n">
        <f aca="false">IF(P19=0,0,P48/P19)</f>
        <v>-0.66716207114109</v>
      </c>
      <c r="Q49" s="41" t="n">
        <f aca="false">IF(Q19=0,0,Q48/Q19)</f>
        <v>-0.628433005174399</v>
      </c>
      <c r="R49" s="41" t="n">
        <f aca="false">IF(R19=0,0,R48/R19)</f>
        <v>-0.425505694374341</v>
      </c>
      <c r="S49" s="41" t="n">
        <f aca="false">IF(S19=0,0,S48/S19)</f>
        <v>-0.373529197245811</v>
      </c>
      <c r="T49" s="41" t="n">
        <f aca="false">IF(T19=0,0,T48/T19)</f>
        <v>-0.252166817927681</v>
      </c>
      <c r="U49" s="41" t="n">
        <f aca="false">IF(U19=0,0,U48/U19)</f>
        <v>-0.153333619113204</v>
      </c>
      <c r="V49" s="41" t="n">
        <f aca="false">IF(V19=0,0,V48/V19)</f>
        <v>-0.108931617686272</v>
      </c>
      <c r="W49" s="41" t="n">
        <f aca="false">IF(W19=0,0,W48/W19)</f>
        <v>-0.247694478275077</v>
      </c>
      <c r="X49" s="41" t="n">
        <f aca="false">IF(X19=0,0,X48/X19)</f>
        <v>-0.0740167977731647</v>
      </c>
      <c r="Y49" s="41" t="n">
        <f aca="false">IF(Y19=0,0,Y48/Y19)</f>
        <v>-0.0404981002730518</v>
      </c>
      <c r="Z49" s="41" t="n">
        <f aca="false">IF(Z19=0,0,Z48/Z19)</f>
        <v>-0.0175690556806446</v>
      </c>
      <c r="AA49" s="41" t="n">
        <f aca="false">IF(AA19=0,0,AA48/AA19)</f>
        <v>0.0210691235583927</v>
      </c>
      <c r="AB49" s="41" t="n">
        <f aca="false">IF(AB19=0,0,AB48/AB19)</f>
        <v>-0.0919910970492737</v>
      </c>
      <c r="AC49" s="41" t="n">
        <f aca="false">IF(AC19=0,0,AC48/AC19)</f>
        <v>-0.0855678547561222</v>
      </c>
      <c r="AD49" s="41" t="n">
        <f aca="false">IF(AD19=0,0,AD48/AD19)</f>
        <v>-0.0595837124713092</v>
      </c>
      <c r="AE49" s="41" t="n">
        <f aca="false">IF(AE19=0,0,AE48/AE19)</f>
        <v>-0.00747684157442768</v>
      </c>
      <c r="AF49" s="41" t="n">
        <f aca="false">IF(AF19=0,0,AF48/AF19)</f>
        <v>0.0437438720610938</v>
      </c>
      <c r="AG49" s="41" t="n">
        <f aca="false">IF(AG19=0,0,AG48/AG19)</f>
        <v>0.0888300980109484</v>
      </c>
      <c r="AH49" s="41" t="n">
        <f aca="false">IF(AH19=0,0,AH48/AH19)</f>
        <v>0.101655560403386</v>
      </c>
      <c r="AI49" s="41" t="n">
        <f aca="false">IF(AI19=0,0,AI48/AI19)</f>
        <v>-0.0182320088392845</v>
      </c>
      <c r="AJ49" s="41" t="n">
        <f aca="false">IF(AJ19=0,0,AJ48/AJ19)</f>
        <v>0.0859956989288315</v>
      </c>
      <c r="AK49" s="41" t="n">
        <f aca="false">IF(AK19=0,0,AK48/AK19)</f>
        <v>0.0993670859084702</v>
      </c>
      <c r="AL49" s="41" t="n">
        <f aca="false">IF(AL19=0,0,AL48/AL19)</f>
        <v>0.10633322289891</v>
      </c>
      <c r="AM49" s="41" t="n">
        <f aca="false">IF(AM19=0,0,AM48/AM19)</f>
        <v>0.135794902541399</v>
      </c>
      <c r="AO49" s="41" t="n">
        <f aca="false">IF(AO19=0,0,AO48/AO19)</f>
        <v>-1.35182547965352</v>
      </c>
      <c r="AP49" s="41" t="n">
        <f aca="false">IF(AP19=0,0,AP48/AP19)</f>
        <v>-0.185161873436542</v>
      </c>
      <c r="AQ49" s="41" t="n">
        <f aca="false">IF(AQ19=0,0,AQ48/AQ19)</f>
        <v>0.046795135829732</v>
      </c>
    </row>
    <row r="50" customFormat="false" ht="15" hidden="false" customHeight="false" outlineLevel="0" collapsed="false">
      <c r="A50" s="5" t="s">
        <v>413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</row>
    <row r="51" customFormat="false" ht="15" hidden="false" customHeight="false" outlineLevel="0" collapsed="false">
      <c r="A51" s="10" t="s">
        <v>414</v>
      </c>
      <c r="B51" s="13" t="s">
        <v>71</v>
      </c>
      <c r="C51" s="50" t="n">
        <v>0</v>
      </c>
      <c r="D51" s="45" t="n">
        <f aca="false">(D41-C41)*prix_ligne</f>
        <v>150000</v>
      </c>
      <c r="E51" s="45" t="n">
        <f aca="false">(E41-D41)*prix_ligne</f>
        <v>0</v>
      </c>
      <c r="F51" s="45" t="n">
        <f aca="false">(F41-E41)*prix_ligne</f>
        <v>0</v>
      </c>
      <c r="G51" s="45" t="n">
        <f aca="false">(G41-F41)*prix_ligne</f>
        <v>0</v>
      </c>
      <c r="H51" s="45" t="n">
        <f aca="false">(H41-G41)*prix_ligne</f>
        <v>0</v>
      </c>
      <c r="I51" s="45" t="n">
        <f aca="false">(I41-H41)*prix_ligne</f>
        <v>0</v>
      </c>
      <c r="J51" s="45" t="n">
        <f aca="false">(J41-I41)*prix_ligne</f>
        <v>0</v>
      </c>
      <c r="K51" s="45" t="n">
        <f aca="false">(K41-J41)*prix_ligne</f>
        <v>0</v>
      </c>
      <c r="L51" s="45" t="n">
        <f aca="false">(L41-K41)*prix_ligne</f>
        <v>0</v>
      </c>
      <c r="M51" s="45" t="n">
        <f aca="false">(M41-L41)*prix_ligne</f>
        <v>0</v>
      </c>
      <c r="N51" s="45" t="n">
        <f aca="false">(N41-M41)*prix_ligne</f>
        <v>0</v>
      </c>
      <c r="O51" s="45" t="n">
        <f aca="false">(O41-N41)*prix_ligne</f>
        <v>0</v>
      </c>
      <c r="P51" s="45" t="n">
        <f aca="false">(P41-O41)*prix_ligne</f>
        <v>0</v>
      </c>
      <c r="Q51" s="45" t="n">
        <f aca="false">(Q41-P41)*prix_ligne</f>
        <v>0</v>
      </c>
      <c r="R51" s="45" t="n">
        <f aca="false">(R41-Q41)*prix_ligne</f>
        <v>0</v>
      </c>
      <c r="S51" s="45" t="n">
        <f aca="false">(S41-R41)*prix_ligne</f>
        <v>0</v>
      </c>
      <c r="T51" s="45" t="n">
        <f aca="false">(T41-S41)*prix_ligne</f>
        <v>0</v>
      </c>
      <c r="U51" s="45" t="n">
        <f aca="false">(U41-T41)*prix_ligne</f>
        <v>0</v>
      </c>
      <c r="V51" s="45" t="n">
        <f aca="false">(V41-U41)*prix_ligne</f>
        <v>0</v>
      </c>
      <c r="W51" s="45" t="n">
        <f aca="false">(W41-V41)*prix_ligne</f>
        <v>0</v>
      </c>
      <c r="X51" s="45" t="n">
        <f aca="false">(X41-W41)*prix_ligne</f>
        <v>0</v>
      </c>
      <c r="Y51" s="45" t="n">
        <f aca="false">(Y41-X41)*prix_ligne</f>
        <v>0</v>
      </c>
      <c r="Z51" s="45" t="n">
        <f aca="false">(Z41-Y41)*prix_ligne</f>
        <v>0</v>
      </c>
      <c r="AA51" s="45" t="n">
        <f aca="false">(AA41-Z41)*prix_ligne</f>
        <v>150000</v>
      </c>
      <c r="AB51" s="45" t="n">
        <f aca="false">(AB41-AA41)*prix_ligne</f>
        <v>0</v>
      </c>
      <c r="AC51" s="45" t="n">
        <f aca="false">(AC41-AB41)*prix_ligne</f>
        <v>0</v>
      </c>
      <c r="AD51" s="45" t="n">
        <f aca="false">(AD41-AC41)*prix_ligne</f>
        <v>0</v>
      </c>
      <c r="AE51" s="45" t="n">
        <f aca="false">(AE41-AD41)*prix_ligne</f>
        <v>0</v>
      </c>
      <c r="AF51" s="45" t="n">
        <f aca="false">(AF41-AE41)*prix_ligne</f>
        <v>0</v>
      </c>
      <c r="AG51" s="45" t="n">
        <f aca="false">(AG41-AF41)*prix_ligne</f>
        <v>0</v>
      </c>
      <c r="AH51" s="45" t="n">
        <f aca="false">(AH41-AG41)*prix_ligne</f>
        <v>0</v>
      </c>
      <c r="AI51" s="45" t="n">
        <f aca="false">(AI41-AH41)*prix_ligne</f>
        <v>0</v>
      </c>
      <c r="AJ51" s="45" t="n">
        <f aca="false">(AJ41-AI41)*prix_ligne</f>
        <v>0</v>
      </c>
      <c r="AK51" s="45" t="n">
        <f aca="false">(AK41-AJ41)*prix_ligne</f>
        <v>0</v>
      </c>
      <c r="AL51" s="45" t="n">
        <f aca="false">(AL41-AK41)*prix_ligne</f>
        <v>0</v>
      </c>
      <c r="AM51" s="45" t="n">
        <f aca="false">(AM41-AL41)*prix_ligne</f>
        <v>0</v>
      </c>
      <c r="AO51" s="45" t="n">
        <f aca="false">SUMIF($D$4:$AM$4,AO$4,$D51:$AM51)</f>
        <v>150000</v>
      </c>
      <c r="AP51" s="45" t="n">
        <f aca="false">SUMIF($D$4:$AM$4,AP$4,$D51:$AM51)</f>
        <v>150000</v>
      </c>
      <c r="AQ51" s="45" t="n">
        <f aca="false">SUMIF($D$4:$AM$4,AQ$4,$D51:$AM51)</f>
        <v>0</v>
      </c>
    </row>
    <row r="52" customFormat="false" ht="15" hidden="false" customHeight="false" outlineLevel="0" collapsed="false">
      <c r="A52" s="10" t="s">
        <v>118</v>
      </c>
      <c r="B52" s="13" t="s">
        <v>71</v>
      </c>
      <c r="C52" s="50" t="n">
        <v>0</v>
      </c>
      <c r="D52" s="45" t="n">
        <f aca="false">IF(D$6=mois_amenagement,amenagement,0)</f>
        <v>70000</v>
      </c>
      <c r="E52" s="45" t="n">
        <f aca="false">IF(E$6=mois_amenagement,amenagement,0)</f>
        <v>0</v>
      </c>
      <c r="F52" s="45" t="n">
        <f aca="false">IF(F$6=mois_amenagement,amenagement,0)</f>
        <v>0</v>
      </c>
      <c r="G52" s="45" t="n">
        <f aca="false">IF(G$6=mois_amenagement,amenagement,0)</f>
        <v>0</v>
      </c>
      <c r="H52" s="45" t="n">
        <f aca="false">IF(H$6=mois_amenagement,amenagement,0)</f>
        <v>0</v>
      </c>
      <c r="I52" s="45" t="n">
        <f aca="false">IF(I$6=mois_amenagement,amenagement,0)</f>
        <v>0</v>
      </c>
      <c r="J52" s="45" t="n">
        <f aca="false">IF(J$6=mois_amenagement,amenagement,0)</f>
        <v>0</v>
      </c>
      <c r="K52" s="45" t="n">
        <f aca="false">IF(K$6=mois_amenagement,amenagement,0)</f>
        <v>0</v>
      </c>
      <c r="L52" s="45" t="n">
        <f aca="false">IF(L$6=mois_amenagement,amenagement,0)</f>
        <v>0</v>
      </c>
      <c r="M52" s="45" t="n">
        <f aca="false">IF(M$6=mois_amenagement,amenagement,0)</f>
        <v>0</v>
      </c>
      <c r="N52" s="45" t="n">
        <f aca="false">IF(N$6=mois_amenagement,amenagement,0)</f>
        <v>0</v>
      </c>
      <c r="O52" s="45" t="n">
        <f aca="false">IF(O$6=mois_amenagement,amenagement,0)</f>
        <v>0</v>
      </c>
      <c r="P52" s="45" t="n">
        <f aca="false">IF(P$6=mois_amenagement,amenagement,0)</f>
        <v>0</v>
      </c>
      <c r="Q52" s="45" t="n">
        <f aca="false">IF(Q$6=mois_amenagement,amenagement,0)</f>
        <v>0</v>
      </c>
      <c r="R52" s="45" t="n">
        <f aca="false">IF(R$6=mois_amenagement,amenagement,0)</f>
        <v>0</v>
      </c>
      <c r="S52" s="45" t="n">
        <f aca="false">IF(S$6=mois_amenagement,amenagement,0)</f>
        <v>0</v>
      </c>
      <c r="T52" s="45" t="n">
        <f aca="false">IF(T$6=mois_amenagement,amenagement,0)</f>
        <v>0</v>
      </c>
      <c r="U52" s="45" t="n">
        <f aca="false">IF(U$6=mois_amenagement,amenagement,0)</f>
        <v>0</v>
      </c>
      <c r="V52" s="45" t="n">
        <f aca="false">IF(V$6=mois_amenagement,amenagement,0)</f>
        <v>0</v>
      </c>
      <c r="W52" s="45" t="n">
        <f aca="false">IF(W$6=mois_amenagement,amenagement,0)</f>
        <v>0</v>
      </c>
      <c r="X52" s="45" t="n">
        <f aca="false">IF(X$6=mois_amenagement,amenagement,0)</f>
        <v>0</v>
      </c>
      <c r="Y52" s="45" t="n">
        <f aca="false">IF(Y$6=mois_amenagement,amenagement,0)</f>
        <v>0</v>
      </c>
      <c r="Z52" s="45" t="n">
        <f aca="false">IF(Z$6=mois_amenagement,amenagement,0)</f>
        <v>0</v>
      </c>
      <c r="AA52" s="45" t="n">
        <f aca="false">IF(AA$6=mois_amenagement,amenagement,0)</f>
        <v>0</v>
      </c>
      <c r="AB52" s="45" t="n">
        <f aca="false">IF(AB$6=mois_amenagement,amenagement,0)</f>
        <v>0</v>
      </c>
      <c r="AC52" s="45" t="n">
        <f aca="false">IF(AC$6=mois_amenagement,amenagement,0)</f>
        <v>0</v>
      </c>
      <c r="AD52" s="45" t="n">
        <f aca="false">IF(AD$6=mois_amenagement,amenagement,0)</f>
        <v>0</v>
      </c>
      <c r="AE52" s="45" t="n">
        <f aca="false">IF(AE$6=mois_amenagement,amenagement,0)</f>
        <v>0</v>
      </c>
      <c r="AF52" s="45" t="n">
        <f aca="false">IF(AF$6=mois_amenagement,amenagement,0)</f>
        <v>0</v>
      </c>
      <c r="AG52" s="45" t="n">
        <f aca="false">IF(AG$6=mois_amenagement,amenagement,0)</f>
        <v>0</v>
      </c>
      <c r="AH52" s="45" t="n">
        <f aca="false">IF(AH$6=mois_amenagement,amenagement,0)</f>
        <v>0</v>
      </c>
      <c r="AI52" s="45" t="n">
        <f aca="false">IF(AI$6=mois_amenagement,amenagement,0)</f>
        <v>0</v>
      </c>
      <c r="AJ52" s="45" t="n">
        <f aca="false">IF(AJ$6=mois_amenagement,amenagement,0)</f>
        <v>0</v>
      </c>
      <c r="AK52" s="45" t="n">
        <f aca="false">IF(AK$6=mois_amenagement,amenagement,0)</f>
        <v>0</v>
      </c>
      <c r="AL52" s="45" t="n">
        <f aca="false">IF(AL$6=mois_amenagement,amenagement,0)</f>
        <v>0</v>
      </c>
      <c r="AM52" s="45" t="n">
        <f aca="false">IF(AM$6=mois_amenagement,amenagement,0)</f>
        <v>0</v>
      </c>
      <c r="AO52" s="45" t="n">
        <f aca="false">SUMIF($D$4:$AM$4,AO$4,$D52:$AM52)</f>
        <v>70000</v>
      </c>
      <c r="AP52" s="45" t="n">
        <f aca="false">SUMIF($D$4:$AM$4,AP$4,$D52:$AM52)</f>
        <v>0</v>
      </c>
      <c r="AQ52" s="45" t="n">
        <f aca="false">SUMIF($D$4:$AM$4,AQ$4,$D52:$AM52)</f>
        <v>0</v>
      </c>
    </row>
    <row r="53" customFormat="false" ht="15" hidden="false" customHeight="false" outlineLevel="0" collapsed="false">
      <c r="A53" s="10" t="s">
        <v>415</v>
      </c>
      <c r="B53" s="13" t="s">
        <v>59</v>
      </c>
      <c r="C53" s="50" t="n">
        <v>0</v>
      </c>
      <c r="D53" s="45" t="n">
        <f aca="false">MAX(stock_initial,D13/rot_par_contenant*(1+tampon_contenants))</f>
        <v>8000</v>
      </c>
      <c r="E53" s="45" t="n">
        <f aca="false">MAX(stock_initial,E13/rot_par_contenant*(1+tampon_contenants))</f>
        <v>8000</v>
      </c>
      <c r="F53" s="45" t="n">
        <f aca="false">MAX(stock_initial,F13/rot_par_contenant*(1+tampon_contenants))</f>
        <v>8000</v>
      </c>
      <c r="G53" s="45" t="n">
        <f aca="false">MAX(stock_initial,G13/rot_par_contenant*(1+tampon_contenants))</f>
        <v>8000</v>
      </c>
      <c r="H53" s="45" t="n">
        <f aca="false">MAX(stock_initial,H13/rot_par_contenant*(1+tampon_contenants))</f>
        <v>8000</v>
      </c>
      <c r="I53" s="45" t="n">
        <f aca="false">MAX(stock_initial,I13/rot_par_contenant*(1+tampon_contenants))</f>
        <v>8000</v>
      </c>
      <c r="J53" s="45" t="n">
        <f aca="false">MAX(stock_initial,J13/rot_par_contenant*(1+tampon_contenants))</f>
        <v>8000</v>
      </c>
      <c r="K53" s="45" t="n">
        <f aca="false">MAX(stock_initial,K13/rot_par_contenant*(1+tampon_contenants))</f>
        <v>8000</v>
      </c>
      <c r="L53" s="45" t="n">
        <f aca="false">MAX(stock_initial,L13/rot_par_contenant*(1+tampon_contenants))</f>
        <v>8600.46582080677</v>
      </c>
      <c r="M53" s="45" t="n">
        <f aca="false">MAX(stock_initial,M13/rot_par_contenant*(1+tampon_contenants))</f>
        <v>9373.64765512933</v>
      </c>
      <c r="N53" s="45" t="n">
        <f aca="false">MAX(stock_initial,N13/rot_par_contenant*(1+tampon_contenants))</f>
        <v>9999.42124589105</v>
      </c>
      <c r="O53" s="45" t="n">
        <f aca="false">MAX(stock_initial,O13/rot_par_contenant*(1+tampon_contenants))</f>
        <v>11105.1767547592</v>
      </c>
      <c r="P53" s="45" t="n">
        <f aca="false">MAX(stock_initial,P13/rot_par_contenant*(1+tampon_contenants))</f>
        <v>11655.3401000166</v>
      </c>
      <c r="Q53" s="45" t="n">
        <f aca="false">MAX(stock_initial,Q13/rot_par_contenant*(1+tampon_contenants))</f>
        <v>13430.6760188164</v>
      </c>
      <c r="R53" s="45" t="n">
        <f aca="false">MAX(stock_initial,R13/rot_par_contenant*(1+tampon_contenants))</f>
        <v>15983.9030595691</v>
      </c>
      <c r="S53" s="45" t="n">
        <f aca="false">MAX(stock_initial,S13/rot_par_contenant*(1+tampon_contenants))</f>
        <v>18164.2581473113</v>
      </c>
      <c r="T53" s="45" t="n">
        <f aca="false">MAX(stock_initial,T13/rot_par_contenant*(1+tampon_contenants))</f>
        <v>20590.919021589</v>
      </c>
      <c r="U53" s="45" t="n">
        <f aca="false">MAX(stock_initial,U13/rot_par_contenant*(1+tampon_contenants))</f>
        <v>23102.3602217108</v>
      </c>
      <c r="V53" s="45" t="n">
        <f aca="false">MAX(stock_initial,V13/rot_par_contenant*(1+tampon_contenants))</f>
        <v>24307.90045741</v>
      </c>
      <c r="W53" s="45" t="n">
        <f aca="false">MAX(stock_initial,W13/rot_par_contenant*(1+tampon_contenants))</f>
        <v>19910.8614490827</v>
      </c>
      <c r="X53" s="45" t="n">
        <f aca="false">MAX(stock_initial,X13/rot_par_contenant*(1+tampon_contenants))</f>
        <v>27936.209584098</v>
      </c>
      <c r="Y53" s="45" t="n">
        <f aca="false">MAX(stock_initial,Y13/rot_par_contenant*(1+tampon_contenants))</f>
        <v>29151.72221063</v>
      </c>
      <c r="Z53" s="45" t="n">
        <f aca="false">MAX(stock_initial,Z13/rot_par_contenant*(1+tampon_contenants))</f>
        <v>29979.0112078664</v>
      </c>
      <c r="AA53" s="45" t="n">
        <f aca="false">MAX(stock_initial,AA13/rot_par_contenant*(1+tampon_contenants))</f>
        <v>32267.9683348395</v>
      </c>
      <c r="AB53" s="45" t="n">
        <f aca="false">MAX(stock_initial,AB13/rot_par_contenant*(1+tampon_contenants))</f>
        <v>31895.337920667</v>
      </c>
      <c r="AC53" s="45" t="n">
        <f aca="false">MAX(stock_initial,AC13/rot_par_contenant*(1+tampon_contenants))</f>
        <v>34002.353865619</v>
      </c>
      <c r="AD53" s="45" t="n">
        <f aca="false">MAX(stock_initial,AD13/rot_par_contenant*(1+tampon_contenants))</f>
        <v>37983.2480202437</v>
      </c>
      <c r="AE53" s="45" t="n">
        <f aca="false">MAX(stock_initial,AE13/rot_par_contenant*(1+tampon_contenants))</f>
        <v>40951.2140248808</v>
      </c>
      <c r="AF53" s="45" t="n">
        <f aca="false">MAX(stock_initial,AF13/rot_par_contenant*(1+tampon_contenants))</f>
        <v>44401.6335582465</v>
      </c>
      <c r="AG53" s="45" t="n">
        <f aca="false">MAX(stock_initial,AG13/rot_par_contenant*(1+tampon_contenants))</f>
        <v>47952.6726399917</v>
      </c>
      <c r="AH53" s="45" t="n">
        <f aca="false">MAX(stock_initial,AH13/rot_par_contenant*(1+tampon_contenants))</f>
        <v>48813.0461080809</v>
      </c>
      <c r="AI53" s="45" t="n">
        <f aca="false">MAX(stock_initial,AI13/rot_par_contenant*(1+tampon_contenants))</f>
        <v>38841.2415655497</v>
      </c>
      <c r="AJ53" s="45" t="n">
        <f aca="false">MAX(stock_initial,AJ13/rot_par_contenant*(1+tampon_contenants))</f>
        <v>53119.2200001265</v>
      </c>
      <c r="AK53" s="45" t="n">
        <f aca="false">MAX(stock_initial,AK13/rot_par_contenant*(1+tampon_contenants))</f>
        <v>54181.560229456</v>
      </c>
      <c r="AL53" s="45" t="n">
        <f aca="false">MAX(stock_initial,AL13/rot_par_contenant*(1+tampon_contenants))</f>
        <v>54593.015055051</v>
      </c>
      <c r="AM53" s="45" t="n">
        <f aca="false">MAX(stock_initial,AM13/rot_par_contenant*(1+tampon_contenants))</f>
        <v>57689.8728518782</v>
      </c>
    </row>
    <row r="54" customFormat="false" ht="15" hidden="false" customHeight="false" outlineLevel="0" collapsed="false">
      <c r="A54" s="10" t="s">
        <v>416</v>
      </c>
      <c r="B54" s="13" t="s">
        <v>59</v>
      </c>
      <c r="C54" s="50" t="n">
        <v>0</v>
      </c>
      <c r="D54" s="45" t="n">
        <f aca="false">MAX(C54,D53)</f>
        <v>8000</v>
      </c>
      <c r="E54" s="45" t="n">
        <f aca="false">MAX(D54,E53)</f>
        <v>8000</v>
      </c>
      <c r="F54" s="45" t="n">
        <f aca="false">MAX(E54,F53)</f>
        <v>8000</v>
      </c>
      <c r="G54" s="45" t="n">
        <f aca="false">MAX(F54,G53)</f>
        <v>8000</v>
      </c>
      <c r="H54" s="45" t="n">
        <f aca="false">MAX(G54,H53)</f>
        <v>8000</v>
      </c>
      <c r="I54" s="45" t="n">
        <f aca="false">MAX(H54,I53)</f>
        <v>8000</v>
      </c>
      <c r="J54" s="45" t="n">
        <f aca="false">MAX(I54,J53)</f>
        <v>8000</v>
      </c>
      <c r="K54" s="45" t="n">
        <f aca="false">MAX(J54,K53)</f>
        <v>8000</v>
      </c>
      <c r="L54" s="45" t="n">
        <f aca="false">MAX(K54,L53)</f>
        <v>8600.46582080677</v>
      </c>
      <c r="M54" s="45" t="n">
        <f aca="false">MAX(L54,M53)</f>
        <v>9373.64765512933</v>
      </c>
      <c r="N54" s="45" t="n">
        <f aca="false">MAX(M54,N53)</f>
        <v>9999.42124589105</v>
      </c>
      <c r="O54" s="45" t="n">
        <f aca="false">MAX(N54,O53)</f>
        <v>11105.1767547592</v>
      </c>
      <c r="P54" s="45" t="n">
        <f aca="false">MAX(O54,P53)</f>
        <v>11655.3401000166</v>
      </c>
      <c r="Q54" s="45" t="n">
        <f aca="false">MAX(P54,Q53)</f>
        <v>13430.6760188164</v>
      </c>
      <c r="R54" s="45" t="n">
        <f aca="false">MAX(Q54,R53)</f>
        <v>15983.9030595691</v>
      </c>
      <c r="S54" s="45" t="n">
        <f aca="false">MAX(R54,S53)</f>
        <v>18164.2581473113</v>
      </c>
      <c r="T54" s="45" t="n">
        <f aca="false">MAX(S54,T53)</f>
        <v>20590.919021589</v>
      </c>
      <c r="U54" s="45" t="n">
        <f aca="false">MAX(T54,U53)</f>
        <v>23102.3602217108</v>
      </c>
      <c r="V54" s="45" t="n">
        <f aca="false">MAX(U54,V53)</f>
        <v>24307.90045741</v>
      </c>
      <c r="W54" s="45" t="n">
        <f aca="false">MAX(V54,W53)</f>
        <v>24307.90045741</v>
      </c>
      <c r="X54" s="45" t="n">
        <f aca="false">MAX(W54,X53)</f>
        <v>27936.209584098</v>
      </c>
      <c r="Y54" s="45" t="n">
        <f aca="false">MAX(X54,Y53)</f>
        <v>29151.72221063</v>
      </c>
      <c r="Z54" s="45" t="n">
        <f aca="false">MAX(Y54,Z53)</f>
        <v>29979.0112078664</v>
      </c>
      <c r="AA54" s="45" t="n">
        <f aca="false">MAX(Z54,AA53)</f>
        <v>32267.9683348395</v>
      </c>
      <c r="AB54" s="45" t="n">
        <f aca="false">MAX(AA54,AB53)</f>
        <v>32267.9683348395</v>
      </c>
      <c r="AC54" s="45" t="n">
        <f aca="false">MAX(AB54,AC53)</f>
        <v>34002.353865619</v>
      </c>
      <c r="AD54" s="45" t="n">
        <f aca="false">MAX(AC54,AD53)</f>
        <v>37983.2480202437</v>
      </c>
      <c r="AE54" s="45" t="n">
        <f aca="false">MAX(AD54,AE53)</f>
        <v>40951.2140248808</v>
      </c>
      <c r="AF54" s="45" t="n">
        <f aca="false">MAX(AE54,AF53)</f>
        <v>44401.6335582465</v>
      </c>
      <c r="AG54" s="45" t="n">
        <f aca="false">MAX(AF54,AG53)</f>
        <v>47952.6726399917</v>
      </c>
      <c r="AH54" s="45" t="n">
        <f aca="false">MAX(AG54,AH53)</f>
        <v>48813.0461080809</v>
      </c>
      <c r="AI54" s="45" t="n">
        <f aca="false">MAX(AH54,AI53)</f>
        <v>48813.0461080809</v>
      </c>
      <c r="AJ54" s="45" t="n">
        <f aca="false">MAX(AI54,AJ53)</f>
        <v>53119.2200001265</v>
      </c>
      <c r="AK54" s="45" t="n">
        <f aca="false">MAX(AJ54,AK53)</f>
        <v>54181.560229456</v>
      </c>
      <c r="AL54" s="45" t="n">
        <f aca="false">MAX(AK54,AL53)</f>
        <v>54593.015055051</v>
      </c>
      <c r="AM54" s="45" t="n">
        <f aca="false">MAX(AL54,AM53)</f>
        <v>57689.8728518782</v>
      </c>
      <c r="AO54" s="45" t="n">
        <f aca="false">INDEX($D54:$AM54,(AO$4-annee_debut)*12+12)</f>
        <v>11105.1767547592</v>
      </c>
      <c r="AP54" s="45" t="n">
        <f aca="false">INDEX($D54:$AM54,(AP$4-annee_debut)*12+12)</f>
        <v>32267.9683348395</v>
      </c>
      <c r="AQ54" s="45" t="n">
        <f aca="false">INDEX($D54:$AM54,(AQ$4-annee_debut)*12+12)</f>
        <v>57689.8728518782</v>
      </c>
    </row>
    <row r="55" customFormat="false" ht="15" hidden="false" customHeight="false" outlineLevel="0" collapsed="false">
      <c r="A55" s="10" t="s">
        <v>417</v>
      </c>
      <c r="B55" s="13" t="s">
        <v>71</v>
      </c>
      <c r="C55" s="50" t="n">
        <v>0</v>
      </c>
      <c r="D55" s="45" t="n">
        <f aca="false">(D54-C54)*cout_contenant*D15</f>
        <v>17600</v>
      </c>
      <c r="E55" s="45" t="n">
        <f aca="false">(E54-D54)*cout_contenant*E15</f>
        <v>0</v>
      </c>
      <c r="F55" s="45" t="n">
        <f aca="false">(F54-E54)*cout_contenant*F15</f>
        <v>0</v>
      </c>
      <c r="G55" s="45" t="n">
        <f aca="false">(G54-F54)*cout_contenant*G15</f>
        <v>0</v>
      </c>
      <c r="H55" s="45" t="n">
        <f aca="false">(H54-G54)*cout_contenant*H15</f>
        <v>0</v>
      </c>
      <c r="I55" s="45" t="n">
        <f aca="false">(I54-H54)*cout_contenant*I15</f>
        <v>0</v>
      </c>
      <c r="J55" s="45" t="n">
        <f aca="false">(J54-I54)*cout_contenant*J15</f>
        <v>0</v>
      </c>
      <c r="K55" s="45" t="n">
        <f aca="false">(K54-J54)*cout_contenant*K15</f>
        <v>0</v>
      </c>
      <c r="L55" s="45" t="n">
        <f aca="false">(L54-K54)*cout_contenant*L15</f>
        <v>1321.02480577488</v>
      </c>
      <c r="M55" s="45" t="n">
        <f aca="false">(M54-L54)*cout_contenant*M15</f>
        <v>1701.00003550964</v>
      </c>
      <c r="N55" s="45" t="n">
        <f aca="false">(N54-M54)*cout_contenant*N15</f>
        <v>1376.70189967578</v>
      </c>
      <c r="O55" s="45" t="n">
        <f aca="false">(O54-N54)*cout_contenant*O15</f>
        <v>2432.66211950985</v>
      </c>
      <c r="P55" s="45" t="n">
        <f aca="false">(P54-O54)*cout_contenant*P15</f>
        <v>1234.56654675772</v>
      </c>
      <c r="Q55" s="45" t="n">
        <f aca="false">(Q54-P54)*cout_contenant*Q15</f>
        <v>3983.85380178675</v>
      </c>
      <c r="R55" s="45" t="n">
        <f aca="false">(R54-Q54)*cout_contenant*R15</f>
        <v>5729.44147944896</v>
      </c>
      <c r="S55" s="45" t="n">
        <f aca="false">(S54-R54)*cout_contenant*S15</f>
        <v>4892.71681689363</v>
      </c>
      <c r="T55" s="45" t="n">
        <f aca="false">(T54-S54)*cout_contenant*T15</f>
        <v>5445.42700187908</v>
      </c>
      <c r="U55" s="45" t="n">
        <f aca="false">(U54-T54)*cout_contenant*U15</f>
        <v>5635.67405307329</v>
      </c>
      <c r="V55" s="45" t="n">
        <f aca="false">(V54-U54)*cout_contenant*V15</f>
        <v>2705.23228890897</v>
      </c>
      <c r="W55" s="45" t="n">
        <f aca="false">(W54-V54)*cout_contenant*W15</f>
        <v>0</v>
      </c>
      <c r="X55" s="45" t="n">
        <f aca="false">(X54-W54)*cout_contenant*X15</f>
        <v>8141.92568028794</v>
      </c>
      <c r="Y55" s="45" t="n">
        <f aca="false">(Y54-X54)*cout_contenant*Y15</f>
        <v>2727.61033393778</v>
      </c>
      <c r="Z55" s="45" t="n">
        <f aca="false">(Z54-Y54)*cout_contenant*Z15</f>
        <v>1856.43650979858</v>
      </c>
      <c r="AA55" s="45" t="n">
        <f aca="false">(AA54-Z54)*cout_contenant*AA15</f>
        <v>5136.41979292751</v>
      </c>
      <c r="AB55" s="45" t="n">
        <f aca="false">(AB54-AA54)*cout_contenant*AB15</f>
        <v>0</v>
      </c>
      <c r="AC55" s="45" t="n">
        <f aca="false">(AC54-AB54)*cout_contenant*AC15</f>
        <v>3969.8003536906</v>
      </c>
      <c r="AD55" s="45" t="n">
        <f aca="false">(AD54-AC54)*cout_contenant*AD15</f>
        <v>9111.78901263754</v>
      </c>
      <c r="AE55" s="45" t="n">
        <f aca="false">(AE54-AD54)*cout_contenant*AE15</f>
        <v>6793.31802869376</v>
      </c>
      <c r="AF55" s="45" t="n">
        <f aca="false">(AF54-AE54)*cout_contenant*AF15</f>
        <v>7897.59626152989</v>
      </c>
      <c r="AG55" s="45" t="n">
        <f aca="false">(AG54-AF54)*cout_contenant*AG15</f>
        <v>8127.90233342507</v>
      </c>
      <c r="AH55" s="45" t="n">
        <f aca="false">(AH54-AG54)*cout_contenant*AH15</f>
        <v>1969.29162364004</v>
      </c>
      <c r="AI55" s="45" t="n">
        <f aca="false">(AI54-AH54)*cout_contenant*AI15</f>
        <v>0</v>
      </c>
      <c r="AJ55" s="45" t="n">
        <f aca="false">(AJ54-AI54)*cout_contenant*AJ15</f>
        <v>9856.31529802539</v>
      </c>
      <c r="AK55" s="45" t="n">
        <f aca="false">(AK54-AJ54)*cout_contenant*AK15</f>
        <v>2431.56930410752</v>
      </c>
      <c r="AL55" s="45" t="n">
        <f aca="false">(AL54-AK54)*cout_contenant*AL15</f>
        <v>941.770721207882</v>
      </c>
      <c r="AM55" s="45" t="n">
        <f aca="false">(AM54-AL54)*cout_contenant*AM15</f>
        <v>7088.33587400181</v>
      </c>
      <c r="AO55" s="45" t="n">
        <f aca="false">SUMIF($D$4:$AM$4,AO$4,$D55:$AM55)</f>
        <v>24431.3888604702</v>
      </c>
      <c r="AP55" s="45" t="n">
        <f aca="false">SUMIF($D$4:$AM$4,AP$4,$D55:$AM55)</f>
        <v>47489.3043057002</v>
      </c>
      <c r="AQ55" s="45" t="n">
        <f aca="false">SUMIF($D$4:$AM$4,AQ$4,$D55:$AM55)</f>
        <v>58187.6888109595</v>
      </c>
    </row>
    <row r="56" customFormat="false" ht="15" hidden="false" customHeight="false" outlineLevel="0" collapsed="false">
      <c r="A56" s="11" t="s">
        <v>418</v>
      </c>
      <c r="B56" s="13" t="s">
        <v>71</v>
      </c>
      <c r="C56" s="50" t="n">
        <v>0</v>
      </c>
      <c r="D56" s="44" t="n">
        <f aca="false">D51+D52+D55</f>
        <v>237600</v>
      </c>
      <c r="E56" s="44" t="n">
        <f aca="false">E51+E52+E55</f>
        <v>0</v>
      </c>
      <c r="F56" s="44" t="n">
        <f aca="false">F51+F52+F55</f>
        <v>0</v>
      </c>
      <c r="G56" s="44" t="n">
        <f aca="false">G51+G52+G55</f>
        <v>0</v>
      </c>
      <c r="H56" s="44" t="n">
        <f aca="false">H51+H52+H55</f>
        <v>0</v>
      </c>
      <c r="I56" s="44" t="n">
        <f aca="false">I51+I52+I55</f>
        <v>0</v>
      </c>
      <c r="J56" s="44" t="n">
        <f aca="false">J51+J52+J55</f>
        <v>0</v>
      </c>
      <c r="K56" s="44" t="n">
        <f aca="false">K51+K52+K55</f>
        <v>0</v>
      </c>
      <c r="L56" s="44" t="n">
        <f aca="false">L51+L52+L55</f>
        <v>1321.02480577488</v>
      </c>
      <c r="M56" s="44" t="n">
        <f aca="false">M51+M52+M55</f>
        <v>1701.00003550964</v>
      </c>
      <c r="N56" s="44" t="n">
        <f aca="false">N51+N52+N55</f>
        <v>1376.70189967578</v>
      </c>
      <c r="O56" s="44" t="n">
        <f aca="false">O51+O52+O55</f>
        <v>2432.66211950985</v>
      </c>
      <c r="P56" s="44" t="n">
        <f aca="false">P51+P52+P55</f>
        <v>1234.56654675772</v>
      </c>
      <c r="Q56" s="44" t="n">
        <f aca="false">Q51+Q52+Q55</f>
        <v>3983.85380178675</v>
      </c>
      <c r="R56" s="44" t="n">
        <f aca="false">R51+R52+R55</f>
        <v>5729.44147944896</v>
      </c>
      <c r="S56" s="44" t="n">
        <f aca="false">S51+S52+S55</f>
        <v>4892.71681689363</v>
      </c>
      <c r="T56" s="44" t="n">
        <f aca="false">T51+T52+T55</f>
        <v>5445.42700187908</v>
      </c>
      <c r="U56" s="44" t="n">
        <f aca="false">U51+U52+U55</f>
        <v>5635.67405307329</v>
      </c>
      <c r="V56" s="44" t="n">
        <f aca="false">V51+V52+V55</f>
        <v>2705.23228890897</v>
      </c>
      <c r="W56" s="44" t="n">
        <f aca="false">W51+W52+W55</f>
        <v>0</v>
      </c>
      <c r="X56" s="44" t="n">
        <f aca="false">X51+X52+X55</f>
        <v>8141.92568028794</v>
      </c>
      <c r="Y56" s="44" t="n">
        <f aca="false">Y51+Y52+Y55</f>
        <v>2727.61033393778</v>
      </c>
      <c r="Z56" s="44" t="n">
        <f aca="false">Z51+Z52+Z55</f>
        <v>1856.43650979858</v>
      </c>
      <c r="AA56" s="44" t="n">
        <f aca="false">AA51+AA52+AA55</f>
        <v>155136.419792928</v>
      </c>
      <c r="AB56" s="44" t="n">
        <f aca="false">AB51+AB52+AB55</f>
        <v>0</v>
      </c>
      <c r="AC56" s="44" t="n">
        <f aca="false">AC51+AC52+AC55</f>
        <v>3969.8003536906</v>
      </c>
      <c r="AD56" s="44" t="n">
        <f aca="false">AD51+AD52+AD55</f>
        <v>9111.78901263754</v>
      </c>
      <c r="AE56" s="44" t="n">
        <f aca="false">AE51+AE52+AE55</f>
        <v>6793.31802869376</v>
      </c>
      <c r="AF56" s="44" t="n">
        <f aca="false">AF51+AF52+AF55</f>
        <v>7897.59626152989</v>
      </c>
      <c r="AG56" s="44" t="n">
        <f aca="false">AG51+AG52+AG55</f>
        <v>8127.90233342507</v>
      </c>
      <c r="AH56" s="44" t="n">
        <f aca="false">AH51+AH52+AH55</f>
        <v>1969.29162364004</v>
      </c>
      <c r="AI56" s="44" t="n">
        <f aca="false">AI51+AI52+AI55</f>
        <v>0</v>
      </c>
      <c r="AJ56" s="44" t="n">
        <f aca="false">AJ51+AJ52+AJ55</f>
        <v>9856.31529802539</v>
      </c>
      <c r="AK56" s="44" t="n">
        <f aca="false">AK51+AK52+AK55</f>
        <v>2431.56930410752</v>
      </c>
      <c r="AL56" s="44" t="n">
        <f aca="false">AL51+AL52+AL55</f>
        <v>941.770721207882</v>
      </c>
      <c r="AM56" s="44" t="n">
        <f aca="false">AM51+AM52+AM55</f>
        <v>7088.33587400181</v>
      </c>
      <c r="AO56" s="44" t="n">
        <f aca="false">SUMIF($D$4:$AM$4,AO$4,$D56:$AM56)</f>
        <v>244431.38886047</v>
      </c>
      <c r="AP56" s="44" t="n">
        <f aca="false">SUMIF($D$4:$AM$4,AP$4,$D56:$AM56)</f>
        <v>197489.3043057</v>
      </c>
      <c r="AQ56" s="44" t="n">
        <f aca="false">SUMIF($D$4:$AM$4,AQ$4,$D56:$AM56)</f>
        <v>58187.6888109595</v>
      </c>
    </row>
    <row r="57" customFormat="false" ht="15" hidden="false" customHeight="false" outlineLevel="0" collapsed="false">
      <c r="A57" s="10" t="s">
        <v>419</v>
      </c>
      <c r="B57" s="13" t="s">
        <v>161</v>
      </c>
      <c r="C57" s="50" t="n">
        <v>0</v>
      </c>
      <c r="D57" s="45" t="n">
        <f aca="false">SUMPRODUCT($D51:D51*((D$6-$D$6:D$6)&lt;duree_ligne))/duree_ligne+SUMPRODUCT($D52:D52*((D$6-$D$6:D$6)&lt;duree_amenagement))/duree_amenagement</f>
        <v>2369.04761904762</v>
      </c>
      <c r="E57" s="45" t="n">
        <f aca="false">SUMPRODUCT($D51:E51*((E$6-$D$6:E$6)&lt;duree_ligne))/duree_ligne+SUMPRODUCT($D52:E52*((E$6-$D$6:E$6)&lt;duree_amenagement))/duree_amenagement</f>
        <v>2369.04761904762</v>
      </c>
      <c r="F57" s="45" t="n">
        <f aca="false">SUMPRODUCT($D51:F51*((F$6-$D$6:F$6)&lt;duree_ligne))/duree_ligne+SUMPRODUCT($D52:F52*((F$6-$D$6:F$6)&lt;duree_amenagement))/duree_amenagement</f>
        <v>2369.04761904762</v>
      </c>
      <c r="G57" s="45" t="n">
        <f aca="false">SUMPRODUCT($D51:G51*((G$6-$D$6:G$6)&lt;duree_ligne))/duree_ligne+SUMPRODUCT($D52:G52*((G$6-$D$6:G$6)&lt;duree_amenagement))/duree_amenagement</f>
        <v>2369.04761904762</v>
      </c>
      <c r="H57" s="45" t="n">
        <f aca="false">SUMPRODUCT($D51:H51*((H$6-$D$6:H$6)&lt;duree_ligne))/duree_ligne+SUMPRODUCT($D52:H52*((H$6-$D$6:H$6)&lt;duree_amenagement))/duree_amenagement</f>
        <v>2369.04761904762</v>
      </c>
      <c r="I57" s="45" t="n">
        <f aca="false">SUMPRODUCT($D51:I51*((I$6-$D$6:I$6)&lt;duree_ligne))/duree_ligne+SUMPRODUCT($D52:I52*((I$6-$D$6:I$6)&lt;duree_amenagement))/duree_amenagement</f>
        <v>2369.04761904762</v>
      </c>
      <c r="J57" s="45" t="n">
        <f aca="false">SUMPRODUCT($D51:J51*((J$6-$D$6:J$6)&lt;duree_ligne))/duree_ligne+SUMPRODUCT($D52:J52*((J$6-$D$6:J$6)&lt;duree_amenagement))/duree_amenagement</f>
        <v>2369.04761904762</v>
      </c>
      <c r="K57" s="45" t="n">
        <f aca="false">SUMPRODUCT($D51:K51*((K$6-$D$6:K$6)&lt;duree_ligne))/duree_ligne+SUMPRODUCT($D52:K52*((K$6-$D$6:K$6)&lt;duree_amenagement))/duree_amenagement</f>
        <v>2369.04761904762</v>
      </c>
      <c r="L57" s="45" t="n">
        <f aca="false">SUMPRODUCT($D51:L51*((L$6-$D$6:L$6)&lt;duree_ligne))/duree_ligne+SUMPRODUCT($D52:L52*((L$6-$D$6:L$6)&lt;duree_amenagement))/duree_amenagement</f>
        <v>2369.04761904762</v>
      </c>
      <c r="M57" s="45" t="n">
        <f aca="false">SUMPRODUCT($D51:M51*((M$6-$D$6:M$6)&lt;duree_ligne))/duree_ligne+SUMPRODUCT($D52:M52*((M$6-$D$6:M$6)&lt;duree_amenagement))/duree_amenagement</f>
        <v>2369.04761904762</v>
      </c>
      <c r="N57" s="45" t="n">
        <f aca="false">SUMPRODUCT($D51:N51*((N$6-$D$6:N$6)&lt;duree_ligne))/duree_ligne+SUMPRODUCT($D52:N52*((N$6-$D$6:N$6)&lt;duree_amenagement))/duree_amenagement</f>
        <v>2369.04761904762</v>
      </c>
      <c r="O57" s="45" t="n">
        <f aca="false">SUMPRODUCT($D51:O51*((O$6-$D$6:O$6)&lt;duree_ligne))/duree_ligne+SUMPRODUCT($D52:O52*((O$6-$D$6:O$6)&lt;duree_amenagement))/duree_amenagement</f>
        <v>2369.04761904762</v>
      </c>
      <c r="P57" s="45" t="n">
        <f aca="false">SUMPRODUCT($D51:P51*((P$6-$D$6:P$6)&lt;duree_ligne))/duree_ligne+SUMPRODUCT($D52:P52*((P$6-$D$6:P$6)&lt;duree_amenagement))/duree_amenagement</f>
        <v>2369.04761904762</v>
      </c>
      <c r="Q57" s="45" t="n">
        <f aca="false">SUMPRODUCT($D51:Q51*((Q$6-$D$6:Q$6)&lt;duree_ligne))/duree_ligne+SUMPRODUCT($D52:Q52*((Q$6-$D$6:Q$6)&lt;duree_amenagement))/duree_amenagement</f>
        <v>2369.04761904762</v>
      </c>
      <c r="R57" s="45" t="n">
        <f aca="false">SUMPRODUCT($D51:R51*((R$6-$D$6:R$6)&lt;duree_ligne))/duree_ligne+SUMPRODUCT($D52:R52*((R$6-$D$6:R$6)&lt;duree_amenagement))/duree_amenagement</f>
        <v>2369.04761904762</v>
      </c>
      <c r="S57" s="45" t="n">
        <f aca="false">SUMPRODUCT($D51:S51*((S$6-$D$6:S$6)&lt;duree_ligne))/duree_ligne+SUMPRODUCT($D52:S52*((S$6-$D$6:S$6)&lt;duree_amenagement))/duree_amenagement</f>
        <v>2369.04761904762</v>
      </c>
      <c r="T57" s="45" t="n">
        <f aca="false">SUMPRODUCT($D51:T51*((T$6-$D$6:T$6)&lt;duree_ligne))/duree_ligne+SUMPRODUCT($D52:T52*((T$6-$D$6:T$6)&lt;duree_amenagement))/duree_amenagement</f>
        <v>2369.04761904762</v>
      </c>
      <c r="U57" s="45" t="n">
        <f aca="false">SUMPRODUCT($D51:U51*((U$6-$D$6:U$6)&lt;duree_ligne))/duree_ligne+SUMPRODUCT($D52:U52*((U$6-$D$6:U$6)&lt;duree_amenagement))/duree_amenagement</f>
        <v>2369.04761904762</v>
      </c>
      <c r="V57" s="45" t="n">
        <f aca="false">SUMPRODUCT($D51:V51*((V$6-$D$6:V$6)&lt;duree_ligne))/duree_ligne+SUMPRODUCT($D52:V52*((V$6-$D$6:V$6)&lt;duree_amenagement))/duree_amenagement</f>
        <v>2369.04761904762</v>
      </c>
      <c r="W57" s="45" t="n">
        <f aca="false">SUMPRODUCT($D51:W51*((W$6-$D$6:W$6)&lt;duree_ligne))/duree_ligne+SUMPRODUCT($D52:W52*((W$6-$D$6:W$6)&lt;duree_amenagement))/duree_amenagement</f>
        <v>2369.04761904762</v>
      </c>
      <c r="X57" s="45" t="n">
        <f aca="false">SUMPRODUCT($D51:X51*((X$6-$D$6:X$6)&lt;duree_ligne))/duree_ligne+SUMPRODUCT($D52:X52*((X$6-$D$6:X$6)&lt;duree_amenagement))/duree_amenagement</f>
        <v>2369.04761904762</v>
      </c>
      <c r="Y57" s="45" t="n">
        <f aca="false">SUMPRODUCT($D51:Y51*((Y$6-$D$6:Y$6)&lt;duree_ligne))/duree_ligne+SUMPRODUCT($D52:Y52*((Y$6-$D$6:Y$6)&lt;duree_amenagement))/duree_amenagement</f>
        <v>2369.04761904762</v>
      </c>
      <c r="Z57" s="45" t="n">
        <f aca="false">SUMPRODUCT($D51:Z51*((Z$6-$D$6:Z$6)&lt;duree_ligne))/duree_ligne+SUMPRODUCT($D52:Z52*((Z$6-$D$6:Z$6)&lt;duree_amenagement))/duree_amenagement</f>
        <v>2369.04761904762</v>
      </c>
      <c r="AA57" s="45" t="n">
        <f aca="false">SUMPRODUCT($D51:AA51*((AA$6-$D$6:AA$6)&lt;duree_ligne))/duree_ligne+SUMPRODUCT($D52:AA52*((AA$6-$D$6:AA$6)&lt;duree_amenagement))/duree_amenagement</f>
        <v>4154.76190476191</v>
      </c>
      <c r="AB57" s="45" t="n">
        <f aca="false">SUMPRODUCT($D51:AB51*((AB$6-$D$6:AB$6)&lt;duree_ligne))/duree_ligne+SUMPRODUCT($D52:AB52*((AB$6-$D$6:AB$6)&lt;duree_amenagement))/duree_amenagement</f>
        <v>4154.76190476191</v>
      </c>
      <c r="AC57" s="45" t="n">
        <f aca="false">SUMPRODUCT($D51:AC51*((AC$6-$D$6:AC$6)&lt;duree_ligne))/duree_ligne+SUMPRODUCT($D52:AC52*((AC$6-$D$6:AC$6)&lt;duree_amenagement))/duree_amenagement</f>
        <v>4154.76190476191</v>
      </c>
      <c r="AD57" s="45" t="n">
        <f aca="false">SUMPRODUCT($D51:AD51*((AD$6-$D$6:AD$6)&lt;duree_ligne))/duree_ligne+SUMPRODUCT($D52:AD52*((AD$6-$D$6:AD$6)&lt;duree_amenagement))/duree_amenagement</f>
        <v>4154.76190476191</v>
      </c>
      <c r="AE57" s="45" t="n">
        <f aca="false">SUMPRODUCT($D51:AE51*((AE$6-$D$6:AE$6)&lt;duree_ligne))/duree_ligne+SUMPRODUCT($D52:AE52*((AE$6-$D$6:AE$6)&lt;duree_amenagement))/duree_amenagement</f>
        <v>4154.76190476191</v>
      </c>
      <c r="AF57" s="45" t="n">
        <f aca="false">SUMPRODUCT($D51:AF51*((AF$6-$D$6:AF$6)&lt;duree_ligne))/duree_ligne+SUMPRODUCT($D52:AF52*((AF$6-$D$6:AF$6)&lt;duree_amenagement))/duree_amenagement</f>
        <v>4154.76190476191</v>
      </c>
      <c r="AG57" s="45" t="n">
        <f aca="false">SUMPRODUCT($D51:AG51*((AG$6-$D$6:AG$6)&lt;duree_ligne))/duree_ligne+SUMPRODUCT($D52:AG52*((AG$6-$D$6:AG$6)&lt;duree_amenagement))/duree_amenagement</f>
        <v>4154.76190476191</v>
      </c>
      <c r="AH57" s="45" t="n">
        <f aca="false">SUMPRODUCT($D51:AH51*((AH$6-$D$6:AH$6)&lt;duree_ligne))/duree_ligne+SUMPRODUCT($D52:AH52*((AH$6-$D$6:AH$6)&lt;duree_amenagement))/duree_amenagement</f>
        <v>4154.76190476191</v>
      </c>
      <c r="AI57" s="45" t="n">
        <f aca="false">SUMPRODUCT($D51:AI51*((AI$6-$D$6:AI$6)&lt;duree_ligne))/duree_ligne+SUMPRODUCT($D52:AI52*((AI$6-$D$6:AI$6)&lt;duree_amenagement))/duree_amenagement</f>
        <v>4154.76190476191</v>
      </c>
      <c r="AJ57" s="45" t="n">
        <f aca="false">SUMPRODUCT($D51:AJ51*((AJ$6-$D$6:AJ$6)&lt;duree_ligne))/duree_ligne+SUMPRODUCT($D52:AJ52*((AJ$6-$D$6:AJ$6)&lt;duree_amenagement))/duree_amenagement</f>
        <v>4154.76190476191</v>
      </c>
      <c r="AK57" s="45" t="n">
        <f aca="false">SUMPRODUCT($D51:AK51*((AK$6-$D$6:AK$6)&lt;duree_ligne))/duree_ligne+SUMPRODUCT($D52:AK52*((AK$6-$D$6:AK$6)&lt;duree_amenagement))/duree_amenagement</f>
        <v>4154.76190476191</v>
      </c>
      <c r="AL57" s="45" t="n">
        <f aca="false">SUMPRODUCT($D51:AL51*((AL$6-$D$6:AL$6)&lt;duree_ligne))/duree_ligne+SUMPRODUCT($D52:AL52*((AL$6-$D$6:AL$6)&lt;duree_amenagement))/duree_amenagement</f>
        <v>4154.76190476191</v>
      </c>
      <c r="AM57" s="45" t="n">
        <f aca="false">SUMPRODUCT($D51:AM51*((AM$6-$D$6:AM$6)&lt;duree_ligne))/duree_ligne+SUMPRODUCT($D52:AM52*((AM$6-$D$6:AM$6)&lt;duree_amenagement))/duree_amenagement</f>
        <v>4154.76190476191</v>
      </c>
      <c r="AO57" s="45" t="n">
        <f aca="false">SUMIF($D$4:$AM$4,AO$4,$D57:$AM57)</f>
        <v>28428.5714285714</v>
      </c>
      <c r="AP57" s="45" t="n">
        <f aca="false">SUMIF($D$4:$AM$4,AP$4,$D57:$AM57)</f>
        <v>30214.2857142857</v>
      </c>
      <c r="AQ57" s="45" t="n">
        <f aca="false">SUMIF($D$4:$AM$4,AQ$4,$D57:$AM57)</f>
        <v>49857.1428571429</v>
      </c>
    </row>
    <row r="58" customFormat="false" ht="15" hidden="false" customHeight="false" outlineLevel="0" collapsed="false">
      <c r="A58" s="10" t="s">
        <v>420</v>
      </c>
      <c r="B58" s="13" t="s">
        <v>66</v>
      </c>
      <c r="C58" s="59" t="n">
        <v>0</v>
      </c>
      <c r="D58" s="60" t="n">
        <f aca="false">IF(D54=0,0,MIN(1,D13*taux_perte_c/D54))</f>
        <v>0.004275</v>
      </c>
      <c r="E58" s="60" t="n">
        <f aca="false">IF(E54=0,0,MIN(1,E13*taux_perte_c/E54))</f>
        <v>0.0127737</v>
      </c>
      <c r="F58" s="60" t="n">
        <f aca="false">IF(F54=0,0,MIN(1,F13*taux_perte_c/F54))</f>
        <v>0.022284648</v>
      </c>
      <c r="G58" s="60" t="n">
        <f aca="false">IF(G54=0,0,MIN(1,G13*taux_perte_c/G54))</f>
        <v>0.03163757686848</v>
      </c>
      <c r="H58" s="60" t="n">
        <f aca="false">IF(H54=0,0,MIN(1,H13*taux_perte_c/H54))</f>
        <v>0.0416272767091776</v>
      </c>
      <c r="I58" s="60" t="n">
        <f aca="false">IF(I54=0,0,MIN(1,I13*taux_perte_c/I54))</f>
        <v>0.0520228279426294</v>
      </c>
      <c r="J58" s="60" t="n">
        <f aca="false">IF(J54=0,0,MIN(1,J13*taux_perte_c/J54))</f>
        <v>0.0594208163960035</v>
      </c>
      <c r="K58" s="60" t="n">
        <f aca="false">IF(K54=0,0,MIN(1,K13*taux_perte_c/K54))</f>
        <v>0.051929726932763</v>
      </c>
      <c r="L58" s="60" t="n">
        <f aca="false">IF(L54=0,0,MIN(1,L13*taux_perte_c/L54))</f>
        <v>0.0714285714285714</v>
      </c>
      <c r="M58" s="60" t="n">
        <f aca="false">IF(M54=0,0,MIN(1,M13*taux_perte_c/M54))</f>
        <v>0.0714285714285714</v>
      </c>
      <c r="N58" s="60" t="n">
        <f aca="false">IF(N54=0,0,MIN(1,N13*taux_perte_c/N54))</f>
        <v>0.0714285714285714</v>
      </c>
      <c r="O58" s="60" t="n">
        <f aca="false">IF(O54=0,0,MIN(1,O13*taux_perte_c/O54))</f>
        <v>0.0714285714285714</v>
      </c>
      <c r="P58" s="60" t="n">
        <f aca="false">IF(P54=0,0,MIN(1,P13*taux_perte_c/P54))</f>
        <v>0.0714285714285714</v>
      </c>
      <c r="Q58" s="60" t="n">
        <f aca="false">IF(Q54=0,0,MIN(1,Q13*taux_perte_c/Q54))</f>
        <v>0.0714285714285714</v>
      </c>
      <c r="R58" s="60" t="n">
        <f aca="false">IF(R54=0,0,MIN(1,R13*taux_perte_c/R54))</f>
        <v>0.0714285714285714</v>
      </c>
      <c r="S58" s="60" t="n">
        <f aca="false">IF(S54=0,0,MIN(1,S13*taux_perte_c/S54))</f>
        <v>0.0714285714285714</v>
      </c>
      <c r="T58" s="60" t="n">
        <f aca="false">IF(T54=0,0,MIN(1,T13*taux_perte_c/T54))</f>
        <v>0.0714285714285714</v>
      </c>
      <c r="U58" s="60" t="n">
        <f aca="false">IF(U54=0,0,MIN(1,U13*taux_perte_c/U54))</f>
        <v>0.0714285714285714</v>
      </c>
      <c r="V58" s="60" t="n">
        <f aca="false">IF(V54=0,0,MIN(1,V13*taux_perte_c/V54))</f>
        <v>0.0714285714285714</v>
      </c>
      <c r="W58" s="60" t="n">
        <f aca="false">IF(W54=0,0,MIN(1,W13*taux_perte_c/W54))</f>
        <v>0.0585079074069785</v>
      </c>
      <c r="X58" s="60" t="n">
        <f aca="false">IF(X54=0,0,MIN(1,X13*taux_perte_c/X54))</f>
        <v>0.0714285714285714</v>
      </c>
      <c r="Y58" s="60" t="n">
        <f aca="false">IF(Y54=0,0,MIN(1,Y13*taux_perte_c/Y54))</f>
        <v>0.0714285714285714</v>
      </c>
      <c r="Z58" s="60" t="n">
        <f aca="false">IF(Z54=0,0,MIN(1,Z13*taux_perte_c/Z54))</f>
        <v>0.0714285714285714</v>
      </c>
      <c r="AA58" s="60" t="n">
        <f aca="false">IF(AA54=0,0,MIN(1,AA13*taux_perte_c/AA54))</f>
        <v>0.0714285714285714</v>
      </c>
      <c r="AB58" s="60" t="n">
        <f aca="false">IF(AB54=0,0,MIN(1,AB13*taux_perte_c/AB54))</f>
        <v>0.0706037144720075</v>
      </c>
      <c r="AC58" s="60" t="n">
        <f aca="false">IF(AC54=0,0,MIN(1,AC13*taux_perte_c/AC54))</f>
        <v>0.0714285714285714</v>
      </c>
      <c r="AD58" s="60" t="n">
        <f aca="false">IF(AD54=0,0,MIN(1,AD13*taux_perte_c/AD54))</f>
        <v>0.0714285714285714</v>
      </c>
      <c r="AE58" s="60" t="n">
        <f aca="false">IF(AE54=0,0,MIN(1,AE13*taux_perte_c/AE54))</f>
        <v>0.0714285714285714</v>
      </c>
      <c r="AF58" s="60" t="n">
        <f aca="false">IF(AF54=0,0,MIN(1,AF13*taux_perte_c/AF54))</f>
        <v>0.0714285714285714</v>
      </c>
      <c r="AG58" s="60" t="n">
        <f aca="false">IF(AG54=0,0,MIN(1,AG13*taux_perte_c/AG54))</f>
        <v>0.0714285714285714</v>
      </c>
      <c r="AH58" s="60" t="n">
        <f aca="false">IF(AH54=0,0,MIN(1,AH13*taux_perte_c/AH54))</f>
        <v>0.0714285714285714</v>
      </c>
      <c r="AI58" s="60" t="n">
        <f aca="false">IF(AI54=0,0,MIN(1,AI13*taux_perte_c/AI54))</f>
        <v>0.0568367397395421</v>
      </c>
      <c r="AJ58" s="60" t="n">
        <f aca="false">IF(AJ54=0,0,MIN(1,AJ13*taux_perte_c/AJ54))</f>
        <v>0.0714285714285714</v>
      </c>
      <c r="AK58" s="60" t="n">
        <f aca="false">IF(AK54=0,0,MIN(1,AK13*taux_perte_c/AK54))</f>
        <v>0.0714285714285714</v>
      </c>
      <c r="AL58" s="60" t="n">
        <f aca="false">IF(AL54=0,0,MIN(1,AL13*taux_perte_c/AL54))</f>
        <v>0.0714285714285714</v>
      </c>
      <c r="AM58" s="60" t="n">
        <f aca="false">IF(AM54=0,0,MIN(1,AM13*taux_perte_c/AM54))</f>
        <v>0.0714285714285714</v>
      </c>
    </row>
    <row r="59" customFormat="false" ht="15" hidden="false" customHeight="false" outlineLevel="0" collapsed="false">
      <c r="A59" s="10" t="s">
        <v>421</v>
      </c>
      <c r="B59" s="13" t="s">
        <v>390</v>
      </c>
      <c r="C59" s="56" t="n">
        <v>1</v>
      </c>
      <c r="D59" s="57" t="n">
        <f aca="false">C59*(1-D58)</f>
        <v>0.995725</v>
      </c>
      <c r="E59" s="57" t="n">
        <f aca="false">D59*(1-E58)</f>
        <v>0.9830059075675</v>
      </c>
      <c r="F59" s="57" t="n">
        <f aca="false">E59*(1-F58)</f>
        <v>0.961099966935438</v>
      </c>
      <c r="G59" s="57" t="n">
        <f aca="false">F59*(1-G58)</f>
        <v>0.930693092853224</v>
      </c>
      <c r="H59" s="57" t="n">
        <f aca="false">G59*(1-H58)</f>
        <v>0.891950873945703</v>
      </c>
      <c r="I59" s="57" t="n">
        <f aca="false">H59*(1-I58)</f>
        <v>0.845549067097148</v>
      </c>
      <c r="J59" s="57" t="n">
        <f aca="false">I59*(1-J58)</f>
        <v>0.795305851227356</v>
      </c>
      <c r="K59" s="57" t="n">
        <f aca="false">J59*(1-K58)</f>
        <v>0.754005835545091</v>
      </c>
      <c r="L59" s="57" t="n">
        <f aca="false">K59*(1-L58)</f>
        <v>0.700148275863298</v>
      </c>
      <c r="M59" s="57" t="n">
        <f aca="false">L59*(1-M58)</f>
        <v>0.650137684730206</v>
      </c>
      <c r="N59" s="57" t="n">
        <f aca="false">M59*(1-N58)</f>
        <v>0.603699278678048</v>
      </c>
      <c r="O59" s="57" t="n">
        <f aca="false">N59*(1-O58)</f>
        <v>0.560577901629616</v>
      </c>
      <c r="P59" s="57" t="n">
        <f aca="false">O59*(1-P58)</f>
        <v>0.520536622941787</v>
      </c>
      <c r="Q59" s="57" t="n">
        <f aca="false">P59*(1-Q58)</f>
        <v>0.483355435588802</v>
      </c>
      <c r="R59" s="57" t="n">
        <f aca="false">Q59*(1-R58)</f>
        <v>0.448830047332459</v>
      </c>
      <c r="S59" s="57" t="n">
        <f aca="false">R59*(1-S58)</f>
        <v>0.416770758237283</v>
      </c>
      <c r="T59" s="57" t="n">
        <f aca="false">S59*(1-T58)</f>
        <v>0.387001418363191</v>
      </c>
      <c r="U59" s="57" t="n">
        <f aca="false">T59*(1-U58)</f>
        <v>0.359358459908678</v>
      </c>
      <c r="V59" s="57" t="n">
        <f aca="false">U59*(1-V58)</f>
        <v>0.333689998486629</v>
      </c>
      <c r="W59" s="57" t="n">
        <f aca="false">V59*(1-W58)</f>
        <v>0.314166494952539</v>
      </c>
      <c r="X59" s="57" t="n">
        <f aca="false">W59*(1-X58)</f>
        <v>0.291726031027358</v>
      </c>
      <c r="Y59" s="57" t="n">
        <f aca="false">X59*(1-Y58)</f>
        <v>0.270888457382546</v>
      </c>
      <c r="Z59" s="57" t="n">
        <f aca="false">Y59*(1-Z58)</f>
        <v>0.251539281855222</v>
      </c>
      <c r="AA59" s="57" t="n">
        <f aca="false">Z59*(1-AA58)</f>
        <v>0.233572190294134</v>
      </c>
      <c r="AB59" s="57" t="n">
        <f aca="false">AA59*(1-AB58)</f>
        <v>0.217081126062006</v>
      </c>
      <c r="AC59" s="57" t="n">
        <f aca="false">AB59*(1-AC58)</f>
        <v>0.201575331343291</v>
      </c>
      <c r="AD59" s="57" t="n">
        <f aca="false">AC59*(1-AD58)</f>
        <v>0.187177093390199</v>
      </c>
      <c r="AE59" s="57" t="n">
        <f aca="false">AD59*(1-AE58)</f>
        <v>0.173807301005185</v>
      </c>
      <c r="AF59" s="57" t="n">
        <f aca="false">AE59*(1-AF58)</f>
        <v>0.161392493790529</v>
      </c>
      <c r="AG59" s="57" t="n">
        <f aca="false">AF59*(1-AG58)</f>
        <v>0.149864458519777</v>
      </c>
      <c r="AH59" s="57" t="n">
        <f aca="false">AG59*(1-AH58)</f>
        <v>0.139159854339793</v>
      </c>
      <c r="AI59" s="57" t="n">
        <f aca="false">AH59*(1-AI58)</f>
        <v>0.131250461916489</v>
      </c>
      <c r="AJ59" s="57" t="n">
        <f aca="false">AI59*(1-AJ58)</f>
        <v>0.121875428922454</v>
      </c>
      <c r="AK59" s="57" t="n">
        <f aca="false">AJ59*(1-AK58)</f>
        <v>0.113170041142279</v>
      </c>
      <c r="AL59" s="57" t="n">
        <f aca="false">AK59*(1-AL58)</f>
        <v>0.105086466774973</v>
      </c>
      <c r="AM59" s="57" t="n">
        <f aca="false">AL59*(1-AM58)</f>
        <v>0.097580290576761</v>
      </c>
    </row>
    <row r="60" customFormat="false" ht="15" hidden="false" customHeight="false" outlineLevel="0" collapsed="false">
      <c r="A60" s="10" t="s">
        <v>422</v>
      </c>
      <c r="B60" s="13" t="s">
        <v>161</v>
      </c>
      <c r="C60" s="50" t="n">
        <v>0</v>
      </c>
      <c r="D60" s="45" t="n">
        <f aca="false">IF(D59=0,0,D55/D59)</f>
        <v>17675.5630319616</v>
      </c>
      <c r="E60" s="45" t="n">
        <f aca="false">IF(E59=0,0,E55/E59)</f>
        <v>0</v>
      </c>
      <c r="F60" s="45" t="n">
        <f aca="false">IF(F59=0,0,F55/F59)</f>
        <v>0</v>
      </c>
      <c r="G60" s="45" t="n">
        <f aca="false">IF(G59=0,0,G55/G59)</f>
        <v>0</v>
      </c>
      <c r="H60" s="45" t="n">
        <f aca="false">IF(H59=0,0,H55/H59)</f>
        <v>0</v>
      </c>
      <c r="I60" s="45" t="n">
        <f aca="false">IF(I59=0,0,I55/I59)</f>
        <v>0</v>
      </c>
      <c r="J60" s="45" t="n">
        <f aca="false">IF(J59=0,0,J55/J59)</f>
        <v>0</v>
      </c>
      <c r="K60" s="45" t="n">
        <f aca="false">IF(K59=0,0,K55/K59)</f>
        <v>0</v>
      </c>
      <c r="L60" s="45" t="n">
        <f aca="false">IF(L59=0,0,L55/L59)</f>
        <v>1886.77863149207</v>
      </c>
      <c r="M60" s="45" t="n">
        <f aca="false">IF(M59=0,0,M55/M59)</f>
        <v>2616.36892532313</v>
      </c>
      <c r="N60" s="45" t="n">
        <f aca="false">IF(N59=0,0,N55/N59)</f>
        <v>2280.44317477142</v>
      </c>
      <c r="O60" s="45" t="n">
        <f aca="false">IF(O59=0,0,O55/O59)</f>
        <v>4339.56121430765</v>
      </c>
      <c r="P60" s="45" t="n">
        <f aca="false">IF(P59=0,0,P55/P59)</f>
        <v>2371.71889997025</v>
      </c>
      <c r="Q60" s="45" t="n">
        <f aca="false">IF(Q59=0,0,Q55/Q59)</f>
        <v>8242.07924119816</v>
      </c>
      <c r="R60" s="45" t="n">
        <f aca="false">IF(R59=0,0,R55/R59)</f>
        <v>12765.2805633243</v>
      </c>
      <c r="S60" s="45" t="n">
        <f aca="false">IF(S59=0,0,S55/S59)</f>
        <v>11739.5875794818</v>
      </c>
      <c r="T60" s="45" t="n">
        <f aca="false">IF(T59=0,0,T55/T59)</f>
        <v>14070.8192360388</v>
      </c>
      <c r="U60" s="45" t="n">
        <f aca="false">IF(U59=0,0,U55/U59)</f>
        <v>15682.5974112463</v>
      </c>
      <c r="V60" s="45" t="n">
        <f aca="false">IF(V59=0,0,V55/V59)</f>
        <v>8107.02238957684</v>
      </c>
      <c r="W60" s="45" t="n">
        <f aca="false">IF(W59=0,0,W55/W59)</f>
        <v>0</v>
      </c>
      <c r="X60" s="45" t="n">
        <f aca="false">IF(X59=0,0,X55/X59)</f>
        <v>27909.4932036572</v>
      </c>
      <c r="Y60" s="45" t="n">
        <f aca="false">IF(Y59=0,0,Y55/Y59)</f>
        <v>10069.1271983061</v>
      </c>
      <c r="Z60" s="45" t="n">
        <f aca="false">IF(Z59=0,0,Z55/Z59)</f>
        <v>7380.30456359133</v>
      </c>
      <c r="AA60" s="45" t="n">
        <f aca="false">IF(AA59=0,0,AA55/AA59)</f>
        <v>21990.7163881937</v>
      </c>
      <c r="AB60" s="45" t="n">
        <f aca="false">IF(AB59=0,0,AB55/AB59)</f>
        <v>0</v>
      </c>
      <c r="AC60" s="45" t="n">
        <f aca="false">IF(AC59=0,0,AC55/AC59)</f>
        <v>19693.8798375574</v>
      </c>
      <c r="AD60" s="45" t="n">
        <f aca="false">IF(AD59=0,0,AD55/AD59)</f>
        <v>48680.0433087324</v>
      </c>
      <c r="AE60" s="45" t="n">
        <f aca="false">IF(AE59=0,0,AE55/AE59)</f>
        <v>39085.3433049462</v>
      </c>
      <c r="AF60" s="45" t="n">
        <f aca="false">IF(AF59=0,0,AF55/AF59)</f>
        <v>48934.0989536985</v>
      </c>
      <c r="AG60" s="45" t="n">
        <f aca="false">IF(AG59=0,0,AG55/AG59)</f>
        <v>54235.0228580213</v>
      </c>
      <c r="AH60" s="45" t="n">
        <f aca="false">IF(AH59=0,0,AH55/AH59)</f>
        <v>14151.2912109806</v>
      </c>
      <c r="AI60" s="45" t="n">
        <f aca="false">IF(AI59=0,0,AI55/AI59)</f>
        <v>0</v>
      </c>
      <c r="AJ60" s="45" t="n">
        <f aca="false">IF(AJ59=0,0,AJ55/AJ59)</f>
        <v>80872.0460323194</v>
      </c>
      <c r="AK60" s="45" t="n">
        <f aca="false">IF(AK59=0,0,AK55/AK59)</f>
        <v>21485.9805613265</v>
      </c>
      <c r="AL60" s="45" t="n">
        <f aca="false">IF(AL59=0,0,AL55/AL59)</f>
        <v>8961.86492999656</v>
      </c>
      <c r="AM60" s="45" t="n">
        <f aca="false">IF(AM59=0,0,AM55/AM59)</f>
        <v>72641.0613465617</v>
      </c>
    </row>
    <row r="61" customFormat="false" ht="15" hidden="false" customHeight="false" outlineLevel="0" collapsed="false">
      <c r="A61" s="10" t="s">
        <v>423</v>
      </c>
      <c r="B61" s="13" t="s">
        <v>161</v>
      </c>
      <c r="C61" s="50" t="n">
        <v>0</v>
      </c>
      <c r="D61" s="45" t="n">
        <f aca="false">D59*SUMPRODUCT($D60:D60*((D$6-$D$6:D$6)+1&lt;duree_contenants)*(1-((D$6-$D$6:D$6)+1)/duree_contenants))</f>
        <v>17111.1111111111</v>
      </c>
      <c r="E61" s="45" t="n">
        <f aca="false">E59*SUMPRODUCT($D60:E60*((E$6-$D$6:E$6)+1&lt;duree_contenants)*(1-((E$6-$D$6:E$6)+1)/duree_contenants))</f>
        <v>16409.8949422222</v>
      </c>
      <c r="F61" s="45" t="n">
        <f aca="false">F59*SUMPRODUCT($D60:F60*((F$6-$D$6:F$6)+1&lt;duree_contenants)*(1-((F$6-$D$6:F$6)+1)/duree_contenants))</f>
        <v>15572.3177917849</v>
      </c>
      <c r="G61" s="45" t="n">
        <f aca="false">G59*SUMPRODUCT($D60:G60*((G$6-$D$6:G$6)+1&lt;duree_contenants)*(1-((G$6-$D$6:G$6)+1)/duree_contenants))</f>
        <v>14622.6883787898</v>
      </c>
      <c r="H61" s="45" t="n">
        <f aca="false">H59*SUMPRODUCT($D60:H60*((H$6-$D$6:H$6)+1&lt;duree_contenants)*(1-((H$6-$D$6:H$6)+1)/duree_contenants))</f>
        <v>13576.0486308071</v>
      </c>
      <c r="I61" s="45" t="n">
        <f aca="false">I59*SUMPRODUCT($D60:I60*((I$6-$D$6:I$6)+1&lt;duree_contenants)*(1-((I$6-$D$6:I$6)+1)/duree_contenants))</f>
        <v>12454.6298600767</v>
      </c>
      <c r="J61" s="45" t="n">
        <f aca="false">J59*SUMPRODUCT($D60:J60*((J$6-$D$6:J$6)+1&lt;duree_contenants)*(1-((J$6-$D$6:J$6)+1)/duree_contenants))</f>
        <v>11324.0800663515</v>
      </c>
      <c r="K61" s="45" t="n">
        <f aca="false">K59*SUMPRODUCT($D60:K60*((K$6-$D$6:K$6)+1&lt;duree_contenants)*(1-((K$6-$D$6:K$6)+1)/duree_contenants))</f>
        <v>10365.8159676121</v>
      </c>
      <c r="L61" s="45" t="n">
        <f aca="false">L59*SUMPRODUCT($D60:L60*((L$6-$D$6:L$6)+1&lt;duree_contenants)*(1-((L$6-$D$6:L$6)+1)/duree_contenants))</f>
        <v>10565.9659085869</v>
      </c>
      <c r="M61" s="45" t="n">
        <f aca="false">M59*SUMPRODUCT($D60:M60*((M$6-$D$6:M$6)+1&lt;duree_contenants)*(1-((M$6-$D$6:M$6)+1)/duree_contenants))</f>
        <v>11111.7203281363</v>
      </c>
      <c r="N61" s="45" t="n">
        <f aca="false">N59*SUMPRODUCT($D60:N60*((N$6-$D$6:N$6)+1&lt;duree_contenants)*(1-((N$6-$D$6:N$6)+1)/duree_contenants))</f>
        <v>11284.5619885447</v>
      </c>
      <c r="O61" s="45" t="n">
        <f aca="false">O59*SUMPRODUCT($D60:O60*((O$6-$D$6:O$6)+1&lt;duree_contenants)*(1-((O$6-$D$6:O$6)+1)/duree_contenants))</f>
        <v>12462.7416545736</v>
      </c>
      <c r="P61" s="45" t="n">
        <f aca="false">P59*SUMPRODUCT($D60:P60*((P$6-$D$6:P$6)+1&lt;duree_contenants)*(1-((P$6-$D$6:P$6)+1)/duree_contenants))</f>
        <v>12356.4081359064</v>
      </c>
      <c r="Q61" s="45" t="n">
        <f aca="false">Q59*SUMPRODUCT($D60:Q60*((Q$6-$D$6:Q$6)+1&lt;duree_contenants)*(1-((Q$6-$D$6:Q$6)+1)/duree_contenants))</f>
        <v>14928.4876774932</v>
      </c>
      <c r="R61" s="45" t="n">
        <f aca="false">R59*SUMPRODUCT($D60:R60*((R$6-$D$6:R$6)+1&lt;duree_contenants)*(1-((R$6-$D$6:R$6)+1)/duree_contenants))</f>
        <v>18941.0818972122</v>
      </c>
      <c r="S61" s="45" t="n">
        <f aca="false">S59*SUMPRODUCT($D60:S60*((S$6-$D$6:S$6)+1&lt;duree_contenants)*(1-((S$6-$D$6:S$6)+1)/duree_contenants))</f>
        <v>21740.8949747366</v>
      </c>
      <c r="T61" s="45" t="n">
        <f aca="false">T59*SUMPRODUCT($D60:T60*((T$6-$D$6:T$6)+1&lt;duree_contenants)*(1-((T$6-$D$6:T$6)+1)/duree_contenants))</f>
        <v>24795.0246789842</v>
      </c>
      <c r="U61" s="45" t="n">
        <f aca="false">U59*SUMPRODUCT($D60:U60*((U$6-$D$6:U$6)+1&lt;duree_contenants)*(1-((U$6-$D$6:U$6)+1)/duree_contenants))</f>
        <v>27724.586827506</v>
      </c>
      <c r="V61" s="45" t="n">
        <f aca="false">V59*SUMPRODUCT($D60:V60*((V$6-$D$6:V$6)+1&lt;duree_contenants)*(1-((V$6-$D$6:V$6)+1)/duree_contenants))</f>
        <v>27506.0959108387</v>
      </c>
      <c r="W61" s="45" t="n">
        <f aca="false">W59*SUMPRODUCT($D60:W60*((W$6-$D$6:W$6)+1&lt;duree_contenants)*(1-((W$6-$D$6:W$6)+1)/duree_contenants))</f>
        <v>25008.5723240724</v>
      </c>
      <c r="X61" s="45" t="n">
        <f aca="false">X59*SUMPRODUCT($D60:X60*((X$6-$D$6:X$6)+1&lt;duree_contenants)*(1-((X$6-$D$6:X$6)+1)/duree_contenants))</f>
        <v>30313.2501530437</v>
      </c>
      <c r="Y61" s="45" t="n">
        <f aca="false">Y59*SUMPRODUCT($D60:Y60*((Y$6-$D$6:Y$6)+1&lt;duree_contenants)*(1-((Y$6-$D$6:Y$6)+1)/duree_contenants))</f>
        <v>29824.005926785</v>
      </c>
      <c r="Z61" s="45" t="n">
        <f aca="false">Z59*SUMPRODUCT($D60:Z60*((Z$6-$D$6:Z$6)+1&lt;duree_contenants)*(1-((Z$6-$D$6:Z$6)+1)/duree_contenants))</f>
        <v>28522.0820978926</v>
      </c>
      <c r="AA61" s="45" t="n">
        <f aca="false">AA59*SUMPRODUCT($D60:AA60*((AA$6-$D$6:AA$6)+1&lt;duree_contenants)*(1-((AA$6-$D$6:AA$6)+1)/duree_contenants))</f>
        <v>30523.891655259</v>
      </c>
      <c r="AB61" s="45" t="n">
        <f aca="false">AB59*SUMPRODUCT($D60:AB60*((AB$6-$D$6:AB$6)+1&lt;duree_contenants)*(1-((AB$6-$D$6:AB$6)+1)/duree_contenants))</f>
        <v>27348.94764027</v>
      </c>
      <c r="AC61" s="45" t="n">
        <f aca="false">AC59*SUMPRODUCT($D60:AC60*((AC$6-$D$6:AC$6)+1&lt;duree_contenants)*(1-((AC$6-$D$6:AC$6)+1)/duree_contenants))</f>
        <v>28307.981609621</v>
      </c>
      <c r="AD61" s="45" t="n">
        <f aca="false">AD59*SUMPRODUCT($D60:AD60*((AD$6-$D$6:AD$6)+1&lt;duree_contenants)*(1-((AD$6-$D$6:AD$6)+1)/duree_contenants))</f>
        <v>34162.91585578</v>
      </c>
      <c r="AE61" s="45" t="n">
        <f aca="false">AE59*SUMPRODUCT($D60:AE60*((AE$6-$D$6:AE$6)+1&lt;duree_contenants)*(1-((AE$6-$D$6:AE$6)+1)/duree_contenants))</f>
        <v>37180.6702561288</v>
      </c>
      <c r="AF61" s="45" t="n">
        <f aca="false">AF59*SUMPRODUCT($D60:AF60*((AF$6-$D$6:AF$6)+1&lt;duree_contenants)*(1-((AF$6-$D$6:AF$6)+1)/duree_contenants))</f>
        <v>40963.1538548526</v>
      </c>
      <c r="AG61" s="45" t="n">
        <f aca="false">AG59*SUMPRODUCT($D60:AG60*((AG$6-$D$6:AG$6)+1&lt;duree_contenants)*(1-((AG$6-$D$6:AG$6)+1)/duree_contenants))</f>
        <v>44584.2303822921</v>
      </c>
      <c r="AH61" s="45" t="n">
        <f aca="false">AH59*SUMPRODUCT($D60:AH60*((AH$6-$D$6:AH$6)+1&lt;duree_contenants)*(1-((AH$6-$D$6:AH$6)+1)/duree_contenants))</f>
        <v>41846.265777523</v>
      </c>
      <c r="AI61" s="45" t="n">
        <f aca="false">AI59*SUMPRODUCT($D60:AI60*((AI$6-$D$6:AI$6)+1&lt;duree_contenants)*(1-((AI$6-$D$6:AI$6)+1)/duree_contenants))</f>
        <v>38031.7356208697</v>
      </c>
      <c r="AJ61" s="45" t="n">
        <f aca="false">AJ59*SUMPRODUCT($D60:AJ60*((AJ$6-$D$6:AJ$6)+1&lt;duree_contenants)*(1-((AJ$6-$D$6:AJ$6)+1)/duree_contenants))</f>
        <v>43564.1673445912</v>
      </c>
      <c r="AK61" s="45" t="n">
        <f aca="false">AK59*SUMPRODUCT($D60:AK60*((AK$6-$D$6:AK$6)+1&lt;duree_contenants)*(1-((AK$6-$D$6:AK$6)+1)/duree_contenants))</f>
        <v>41323.945147345</v>
      </c>
      <c r="AL61" s="45" t="n">
        <f aca="false">AL59*SUMPRODUCT($D60:AL60*((AL$6-$D$6:AL$6)+1&lt;duree_contenants)*(1-((AL$6-$D$6:AL$6)+1)/duree_contenants))</f>
        <v>37839.2131736522</v>
      </c>
      <c r="AM61" s="45" t="n">
        <f aca="false">AM59*SUMPRODUCT($D60:AM60*((AM$6-$D$6:AM$6)+1&lt;duree_contenants)*(1-((AM$6-$D$6:AM$6)+1)/duree_contenants))</f>
        <v>40658.3998698115</v>
      </c>
      <c r="AO61" s="45" t="n">
        <f aca="false">INDEX($D61:$AM61,(AO$4-annee_debut)*12+12)</f>
        <v>12462.7416545736</v>
      </c>
      <c r="AP61" s="45" t="n">
        <f aca="false">INDEX($D61:$AM61,(AP$4-annee_debut)*12+12)</f>
        <v>30523.891655259</v>
      </c>
      <c r="AQ61" s="45" t="n">
        <f aca="false">INDEX($D61:$AM61,(AQ$4-annee_debut)*12+12)</f>
        <v>40658.3998698115</v>
      </c>
    </row>
    <row r="62" customFormat="false" ht="15" hidden="false" customHeight="false" outlineLevel="0" collapsed="false">
      <c r="A62" s="10" t="s">
        <v>270</v>
      </c>
      <c r="B62" s="13" t="s">
        <v>161</v>
      </c>
      <c r="C62" s="50" t="n">
        <v>0</v>
      </c>
      <c r="D62" s="45" t="n">
        <f aca="false">D58*C61</f>
        <v>0</v>
      </c>
      <c r="E62" s="45" t="n">
        <f aca="false">E58*D61</f>
        <v>218.5722</v>
      </c>
      <c r="F62" s="45" t="n">
        <f aca="false">F58*E61</f>
        <v>365.688732504403</v>
      </c>
      <c r="G62" s="45" t="n">
        <f aca="false">G58*F61</f>
        <v>492.670401157995</v>
      </c>
      <c r="H62" s="45" t="n">
        <f aca="false">H58*G61</f>
        <v>608.702695375957</v>
      </c>
      <c r="I62" s="45" t="n">
        <f aca="false">I58*H61</f>
        <v>706.264442061249</v>
      </c>
      <c r="J62" s="45" t="n">
        <f aca="false">J58*I61</f>
        <v>740.064274195797</v>
      </c>
      <c r="K62" s="45" t="n">
        <f aca="false">K58*J61</f>
        <v>588.056385610378</v>
      </c>
      <c r="L62" s="45" t="n">
        <f aca="false">L58*K61</f>
        <v>740.415426258008</v>
      </c>
      <c r="M62" s="45" t="n">
        <f aca="false">M58*L61</f>
        <v>754.711850613349</v>
      </c>
      <c r="N62" s="45" t="n">
        <f aca="false">N58*M61</f>
        <v>793.69430915259</v>
      </c>
      <c r="O62" s="45" t="n">
        <f aca="false">O58*N61</f>
        <v>806.04014203891</v>
      </c>
      <c r="P62" s="45" t="n">
        <f aca="false">P58*O61</f>
        <v>890.195832469542</v>
      </c>
      <c r="Q62" s="45" t="n">
        <f aca="false">Q58*P61</f>
        <v>882.60058113617</v>
      </c>
      <c r="R62" s="45" t="n">
        <f aca="false">R58*Q61</f>
        <v>1066.32054839237</v>
      </c>
      <c r="S62" s="45" t="n">
        <f aca="false">S58*R61</f>
        <v>1352.93442122945</v>
      </c>
      <c r="T62" s="45" t="n">
        <f aca="false">T58*S61</f>
        <v>1552.92106962404</v>
      </c>
      <c r="U62" s="45" t="n">
        <f aca="false">U58*T61</f>
        <v>1771.07319135601</v>
      </c>
      <c r="V62" s="45" t="n">
        <f aca="false">V58*U61</f>
        <v>1980.32763053614</v>
      </c>
      <c r="W62" s="45" t="n">
        <f aca="false">W58*V61</f>
        <v>1609.32411267882</v>
      </c>
      <c r="X62" s="45" t="n">
        <f aca="false">X58*W61</f>
        <v>1786.3265945766</v>
      </c>
      <c r="Y62" s="45" t="n">
        <f aca="false">Y58*X61</f>
        <v>2165.23215378884</v>
      </c>
      <c r="Z62" s="45" t="n">
        <f aca="false">Z58*Y61</f>
        <v>2130.2861376275</v>
      </c>
      <c r="AA62" s="45" t="n">
        <f aca="false">AA58*Z61</f>
        <v>2037.2915784209</v>
      </c>
      <c r="AB62" s="45" t="n">
        <f aca="false">AB58*AA61</f>
        <v>2155.1001310024</v>
      </c>
      <c r="AC62" s="45" t="n">
        <f aca="false">AC58*AB61</f>
        <v>1953.49626001928</v>
      </c>
      <c r="AD62" s="45" t="n">
        <f aca="false">AD58*AC61</f>
        <v>2021.9986864015</v>
      </c>
      <c r="AE62" s="45" t="n">
        <f aca="false">AE58*AD61</f>
        <v>2440.20827541285</v>
      </c>
      <c r="AF62" s="45" t="n">
        <f aca="false">AF58*AE61</f>
        <v>2655.76216115206</v>
      </c>
      <c r="AG62" s="45" t="n">
        <f aca="false">AG58*AF61</f>
        <v>2925.9395610609</v>
      </c>
      <c r="AH62" s="45" t="n">
        <f aca="false">AH58*AG61</f>
        <v>3184.58788444943</v>
      </c>
      <c r="AI62" s="45" t="n">
        <f aca="false">AI58*AH61</f>
        <v>2378.40531706878</v>
      </c>
      <c r="AJ62" s="45" t="n">
        <f aca="false">AJ58*AI61</f>
        <v>2716.55254434784</v>
      </c>
      <c r="AK62" s="45" t="n">
        <f aca="false">AK58*AJ61</f>
        <v>3111.72623889937</v>
      </c>
      <c r="AL62" s="45" t="n">
        <f aca="false">AL58*AK61</f>
        <v>2951.7103676675</v>
      </c>
      <c r="AM62" s="45" t="n">
        <f aca="false">AM58*AL61</f>
        <v>2702.80094097516</v>
      </c>
      <c r="AO62" s="45" t="n">
        <f aca="false">SUMIF($D$4:$AM$4,AO$4,$D62:$AM62)</f>
        <v>6814.88085896864</v>
      </c>
      <c r="AP62" s="45" t="n">
        <f aca="false">SUMIF($D$4:$AM$4,AP$4,$D62:$AM62)</f>
        <v>19224.8338518364</v>
      </c>
      <c r="AQ62" s="45" t="n">
        <f aca="false">SUMIF($D$4:$AM$4,AQ$4,$D62:$AM62)</f>
        <v>31198.2883684571</v>
      </c>
    </row>
    <row r="63" customFormat="false" ht="15" hidden="false" customHeight="false" outlineLevel="0" collapsed="false">
      <c r="A63" s="10" t="s">
        <v>424</v>
      </c>
      <c r="B63" s="13" t="s">
        <v>161</v>
      </c>
      <c r="C63" s="50" t="n">
        <v>0</v>
      </c>
      <c r="D63" s="45" t="n">
        <f aca="false">C61-D62+D55-D61</f>
        <v>488.888888888891</v>
      </c>
      <c r="E63" s="45" t="n">
        <f aca="false">D61-E62+E55-E61</f>
        <v>482.64396888889</v>
      </c>
      <c r="F63" s="45" t="n">
        <f aca="false">E61-F62+F55-F61</f>
        <v>471.888417932876</v>
      </c>
      <c r="G63" s="45" t="n">
        <f aca="false">F61-G62+G55-G61</f>
        <v>456.959011837182</v>
      </c>
      <c r="H63" s="45" t="n">
        <f aca="false">G61-H62+H55-H61</f>
        <v>437.93705260668</v>
      </c>
      <c r="I63" s="45" t="n">
        <f aca="false">H61-I62+I55-I61</f>
        <v>415.154328669223</v>
      </c>
      <c r="J63" s="45" t="n">
        <f aca="false">I61-J62+J55-J61</f>
        <v>390.48551952936</v>
      </c>
      <c r="K63" s="45" t="n">
        <f aca="false">J61-K62+K55-K61</f>
        <v>370.207713129004</v>
      </c>
      <c r="L63" s="45" t="n">
        <f aca="false">K61-L62+L55-L61</f>
        <v>380.459438542108</v>
      </c>
      <c r="M63" s="45" t="n">
        <f aca="false">L61-M62+M55-M61</f>
        <v>400.533765346909</v>
      </c>
      <c r="N63" s="45" t="n">
        <f aca="false">M61-N62+N55-N61</f>
        <v>410.165930114707</v>
      </c>
      <c r="O63" s="45" t="n">
        <f aca="false">N61-O62+O55-O61</f>
        <v>448.442311442108</v>
      </c>
      <c r="P63" s="45" t="n">
        <f aca="false">O61-P62+P55-P61</f>
        <v>450.704232955386</v>
      </c>
      <c r="Q63" s="45" t="n">
        <f aca="false">P61-Q62+Q55-Q61</f>
        <v>529.173679063757</v>
      </c>
      <c r="R63" s="45" t="n">
        <f aca="false">Q61-R62+R55-R61</f>
        <v>650.526711337549</v>
      </c>
      <c r="S63" s="45" t="n">
        <f aca="false">R61-S62+S55-S61</f>
        <v>739.969318139851</v>
      </c>
      <c r="T63" s="45" t="n">
        <f aca="false">S61-T62+T55-T61</f>
        <v>838.376228007455</v>
      </c>
      <c r="U63" s="45" t="n">
        <f aca="false">T61-U62+U55-U61</f>
        <v>935.038713195459</v>
      </c>
      <c r="V63" s="45" t="n">
        <f aca="false">U61-V62+V55-V61</f>
        <v>943.395575040086</v>
      </c>
      <c r="W63" s="45" t="n">
        <f aca="false">V61-W62+W55-W61</f>
        <v>888.199474087483</v>
      </c>
      <c r="X63" s="45" t="n">
        <f aca="false">W61-X62+X55-X61</f>
        <v>1050.92125674004</v>
      </c>
      <c r="Y63" s="45" t="n">
        <f aca="false">X61-Y62+Y55-Y61</f>
        <v>1051.62240640767</v>
      </c>
      <c r="Z63" s="45" t="n">
        <f aca="false">Y61-Z62+Z55-Z61</f>
        <v>1028.07420106342</v>
      </c>
      <c r="AA63" s="45" t="n">
        <f aca="false">Z61-AA62+AA55-AA61</f>
        <v>1097.31865714021</v>
      </c>
      <c r="AB63" s="45" t="n">
        <f aca="false">AA61-AB62+AB55-AB61</f>
        <v>1019.84388398668</v>
      </c>
      <c r="AC63" s="45" t="n">
        <f aca="false">AB61-AC62+AC55-AC61</f>
        <v>1057.27012432031</v>
      </c>
      <c r="AD63" s="45" t="n">
        <f aca="false">AC61-AD62+AD55-AD61</f>
        <v>1234.85608007705</v>
      </c>
      <c r="AE63" s="45" t="n">
        <f aca="false">AD61-AE62+AE55-AE61</f>
        <v>1335.35535293208</v>
      </c>
      <c r="AF63" s="45" t="n">
        <f aca="false">AE61-AF62+AF55-AF61</f>
        <v>1459.35050165402</v>
      </c>
      <c r="AG63" s="45" t="n">
        <f aca="false">AF61-AG62+AG55-AG61</f>
        <v>1580.88624492468</v>
      </c>
      <c r="AH63" s="45" t="n">
        <f aca="false">AG61-AH62+AH55-AH61</f>
        <v>1522.66834395973</v>
      </c>
      <c r="AI63" s="45" t="n">
        <f aca="false">AH61-AI62+AI55-AI61</f>
        <v>1436.12483958447</v>
      </c>
      <c r="AJ63" s="45" t="n">
        <f aca="false">AI61-AJ62+AJ55-AJ61</f>
        <v>1607.33102995612</v>
      </c>
      <c r="AK63" s="45" t="n">
        <f aca="false">AJ61-AK62+AK55-AK61</f>
        <v>1560.06526245431</v>
      </c>
      <c r="AL63" s="45" t="n">
        <f aca="false">AK61-AL62+AL55-AL61</f>
        <v>1474.79232723318</v>
      </c>
      <c r="AM63" s="45" t="n">
        <f aca="false">AL61-AM62+AM55-AM61</f>
        <v>1566.34823686737</v>
      </c>
      <c r="AO63" s="45" t="n">
        <f aca="false">SUMIF($D$4:$AM$4,AO$4,$D63:$AM63)</f>
        <v>5153.76634692794</v>
      </c>
      <c r="AP63" s="45" t="n">
        <f aca="false">SUMIF($D$4:$AM$4,AP$4,$D63:$AM63)</f>
        <v>10203.3204531784</v>
      </c>
      <c r="AQ63" s="45" t="n">
        <f aca="false">SUMIF($D$4:$AM$4,AQ$4,$D63:$AM63)</f>
        <v>16854.89222795</v>
      </c>
    </row>
    <row r="64" customFormat="false" ht="15" hidden="false" customHeight="false" outlineLevel="0" collapsed="false">
      <c r="A64" s="11" t="s">
        <v>269</v>
      </c>
      <c r="B64" s="13" t="s">
        <v>161</v>
      </c>
      <c r="C64" s="50" t="n">
        <v>0</v>
      </c>
      <c r="D64" s="44" t="n">
        <f aca="false">D57+D63</f>
        <v>2857.93650793651</v>
      </c>
      <c r="E64" s="44" t="n">
        <f aca="false">E57+E63</f>
        <v>2851.69158793651</v>
      </c>
      <c r="F64" s="44" t="n">
        <f aca="false">F57+F63</f>
        <v>2840.9360369805</v>
      </c>
      <c r="G64" s="44" t="n">
        <f aca="false">G57+G63</f>
        <v>2826.0066308848</v>
      </c>
      <c r="H64" s="44" t="n">
        <f aca="false">H57+H63</f>
        <v>2806.9846716543</v>
      </c>
      <c r="I64" s="44" t="n">
        <f aca="false">I57+I63</f>
        <v>2784.20194771684</v>
      </c>
      <c r="J64" s="44" t="n">
        <f aca="false">J57+J63</f>
        <v>2759.53313857698</v>
      </c>
      <c r="K64" s="44" t="n">
        <f aca="false">K57+K63</f>
        <v>2739.25533217662</v>
      </c>
      <c r="L64" s="44" t="n">
        <f aca="false">L57+L63</f>
        <v>2749.50705758973</v>
      </c>
      <c r="M64" s="44" t="n">
        <f aca="false">M57+M63</f>
        <v>2769.58138439453</v>
      </c>
      <c r="N64" s="44" t="n">
        <f aca="false">N57+N63</f>
        <v>2779.21354916233</v>
      </c>
      <c r="O64" s="44" t="n">
        <f aca="false">O57+O63</f>
        <v>2817.48993048973</v>
      </c>
      <c r="P64" s="44" t="n">
        <f aca="false">P57+P63</f>
        <v>2819.75185200301</v>
      </c>
      <c r="Q64" s="44" t="n">
        <f aca="false">Q57+Q63</f>
        <v>2898.22129811138</v>
      </c>
      <c r="R64" s="44" t="n">
        <f aca="false">R57+R63</f>
        <v>3019.57433038517</v>
      </c>
      <c r="S64" s="44" t="n">
        <f aca="false">S57+S63</f>
        <v>3109.01693718747</v>
      </c>
      <c r="T64" s="44" t="n">
        <f aca="false">T57+T63</f>
        <v>3207.42384705507</v>
      </c>
      <c r="U64" s="44" t="n">
        <f aca="false">U57+U63</f>
        <v>3304.08633224308</v>
      </c>
      <c r="V64" s="44" t="n">
        <f aca="false">V57+V63</f>
        <v>3312.44319408771</v>
      </c>
      <c r="W64" s="44" t="n">
        <f aca="false">W57+W63</f>
        <v>3257.2470931351</v>
      </c>
      <c r="X64" s="44" t="n">
        <f aca="false">X57+X63</f>
        <v>3419.96887578765</v>
      </c>
      <c r="Y64" s="44" t="n">
        <f aca="false">Y57+Y63</f>
        <v>3420.67002545529</v>
      </c>
      <c r="Z64" s="44" t="n">
        <f aca="false">Z57+Z63</f>
        <v>3397.12182011104</v>
      </c>
      <c r="AA64" s="44" t="n">
        <f aca="false">AA57+AA63</f>
        <v>5252.08056190212</v>
      </c>
      <c r="AB64" s="44" t="n">
        <f aca="false">AB57+AB63</f>
        <v>5174.60578874859</v>
      </c>
      <c r="AC64" s="44" t="n">
        <f aca="false">AC57+AC63</f>
        <v>5212.03202908221</v>
      </c>
      <c r="AD64" s="44" t="n">
        <f aca="false">AD57+AD63</f>
        <v>5389.61798483896</v>
      </c>
      <c r="AE64" s="44" t="n">
        <f aca="false">AE57+AE63</f>
        <v>5490.11725769398</v>
      </c>
      <c r="AF64" s="44" t="n">
        <f aca="false">AF57+AF63</f>
        <v>5614.11240641593</v>
      </c>
      <c r="AG64" s="44" t="n">
        <f aca="false">AG57+AG63</f>
        <v>5735.64814968659</v>
      </c>
      <c r="AH64" s="44" t="n">
        <f aca="false">AH57+AH63</f>
        <v>5677.43024872164</v>
      </c>
      <c r="AI64" s="44" t="n">
        <f aca="false">AI57+AI63</f>
        <v>5590.88674434637</v>
      </c>
      <c r="AJ64" s="44" t="n">
        <f aca="false">AJ57+AJ63</f>
        <v>5762.09293471802</v>
      </c>
      <c r="AK64" s="44" t="n">
        <f aca="false">AK57+AK63</f>
        <v>5714.82716721621</v>
      </c>
      <c r="AL64" s="44" t="n">
        <f aca="false">AL57+AL63</f>
        <v>5629.55423199509</v>
      </c>
      <c r="AM64" s="44" t="n">
        <f aca="false">AM57+AM63</f>
        <v>5721.11014162928</v>
      </c>
      <c r="AO64" s="44" t="n">
        <f aca="false">SUMIF($D$4:$AM$4,AO$4,$D64:$AM64)</f>
        <v>33582.3377754994</v>
      </c>
      <c r="AP64" s="44" t="n">
        <f aca="false">SUMIF($D$4:$AM$4,AP$4,$D64:$AM64)</f>
        <v>40417.6061674641</v>
      </c>
      <c r="AQ64" s="44" t="n">
        <f aca="false">SUMIF($D$4:$AM$4,AQ$4,$D64:$AM64)</f>
        <v>66712.0350850929</v>
      </c>
    </row>
    <row r="65" customFormat="false" ht="15" hidden="false" customHeight="false" outlineLevel="0" collapsed="false">
      <c r="A65" s="11" t="s">
        <v>271</v>
      </c>
      <c r="B65" s="13" t="s">
        <v>161</v>
      </c>
      <c r="C65" s="50" t="n">
        <v>0</v>
      </c>
      <c r="D65" s="44" t="n">
        <f aca="false">D48-D64-D62</f>
        <v>-22086.3098412698</v>
      </c>
      <c r="E65" s="44" t="n">
        <f aca="false">E48-E64-E62</f>
        <v>-20996.5766412698</v>
      </c>
      <c r="F65" s="44" t="n">
        <f aca="false">F48-F64-F62</f>
        <v>-19701.2059636182</v>
      </c>
      <c r="G65" s="44" t="n">
        <f aca="false">G48-G64-G62</f>
        <v>-23237.7636435397</v>
      </c>
      <c r="H65" s="44" t="n">
        <f aca="false">H48-H64-H62</f>
        <v>-21845.1815996784</v>
      </c>
      <c r="I65" s="44" t="n">
        <f aca="false">I48-I64-I62</f>
        <v>-20379.6884481978</v>
      </c>
      <c r="J65" s="44" t="n">
        <f aca="false">J48-J64-J62</f>
        <v>-19241.6457910069</v>
      </c>
      <c r="K65" s="44" t="n">
        <f aca="false">K48-K64-K62</f>
        <v>-19865.9118879924</v>
      </c>
      <c r="L65" s="44" t="n">
        <f aca="false">L48-L64-L62</f>
        <v>-16608.6367159707</v>
      </c>
      <c r="M65" s="44" t="n">
        <f aca="false">M48-M64-M62</f>
        <v>-15566.8175382019</v>
      </c>
      <c r="N65" s="44" t="n">
        <f aca="false">N48-N64-N62</f>
        <v>-14712.9793691021</v>
      </c>
      <c r="O65" s="44" t="n">
        <f aca="false">O48-O64-O62</f>
        <v>-13304.3991830259</v>
      </c>
      <c r="P65" s="44" t="n">
        <f aca="false">P48-P64-P62</f>
        <v>-19488.505781914</v>
      </c>
      <c r="Q65" s="44" t="n">
        <f aca="false">Q48-Q64-Q62</f>
        <v>-20907.2924795197</v>
      </c>
      <c r="R65" s="44" t="n">
        <f aca="false">R48-R64-R62</f>
        <v>-17815.9017023165</v>
      </c>
      <c r="S65" s="44" t="n">
        <f aca="false">S48-S64-S62</f>
        <v>-18132.6783746431</v>
      </c>
      <c r="T65" s="44" t="n">
        <f aca="false">T48-T64-T62</f>
        <v>-15193.605839623</v>
      </c>
      <c r="U65" s="44" t="n">
        <f aca="false">U48-U64-U62</f>
        <v>-12174.5392562491</v>
      </c>
      <c r="V65" s="44" t="n">
        <f aca="false">V48-V64-V62</f>
        <v>-10613.33642539</v>
      </c>
      <c r="W65" s="44" t="n">
        <f aca="false">W48-W64-W62</f>
        <v>-15065.951499113</v>
      </c>
      <c r="X65" s="44" t="n">
        <f aca="false">X48-X64-X62</f>
        <v>-9361.1342085585</v>
      </c>
      <c r="Y65" s="44" t="n">
        <f aca="false">Y48-Y64-Y62</f>
        <v>-7962.43185434694</v>
      </c>
      <c r="Z65" s="44" t="n">
        <f aca="false">Z48-Z64-Z62</f>
        <v>-6590.68947175867</v>
      </c>
      <c r="AA65" s="44" t="n">
        <f aca="false">AA48-AA64-AA62</f>
        <v>-5919.53958494937</v>
      </c>
      <c r="AB65" s="44" t="n">
        <f aca="false">AB48-AB64-AB62</f>
        <v>-13402.4389905307</v>
      </c>
      <c r="AC65" s="44" t="n">
        <f aca="false">AC48-AC64-AC62</f>
        <v>-13187.3904862319</v>
      </c>
      <c r="AD65" s="44" t="n">
        <f aca="false">AD48-AD64-AD62</f>
        <v>-12071.7932194329</v>
      </c>
      <c r="AE65" s="44" t="n">
        <f aca="false">AE48-AE64-AE62</f>
        <v>-8559.59190389573</v>
      </c>
      <c r="AF65" s="44" t="n">
        <f aca="false">AF48-AF64-AF62</f>
        <v>-4289.05271549642</v>
      </c>
      <c r="AG65" s="44" t="n">
        <f aca="false">AG48-AG64-AG62</f>
        <v>46.038928907873</v>
      </c>
      <c r="AH65" s="44" t="n">
        <f aca="false">AH48-AH64-AH62</f>
        <v>1308.04433554309</v>
      </c>
      <c r="AI65" s="44" t="n">
        <f aca="false">AI48-AI64-AI62</f>
        <v>-9463.10152992479</v>
      </c>
      <c r="AJ65" s="44" t="n">
        <f aca="false">AJ48-AJ64-AJ62</f>
        <v>883.707082140236</v>
      </c>
      <c r="AK65" s="44" t="n">
        <f aca="false">AK48-AK64-AK62</f>
        <v>2227.93391028222</v>
      </c>
      <c r="AL65" s="44" t="n">
        <f aca="false">AL48-AL64-AL62</f>
        <v>3372.06153196262</v>
      </c>
      <c r="AM65" s="44" t="n">
        <f aca="false">AM48-AM64-AM62</f>
        <v>7676.33865377741</v>
      </c>
      <c r="AO65" s="44" t="n">
        <f aca="false">SUMIF($D$4:$AM$4,AO$4,$D65:$AM65)</f>
        <v>-227547.116622874</v>
      </c>
      <c r="AP65" s="44" t="n">
        <f aca="false">SUMIF($D$4:$AM$4,AP$4,$D65:$AM65)</f>
        <v>-159225.606478382</v>
      </c>
      <c r="AQ65" s="44" t="n">
        <f aca="false">SUMIF($D$4:$AM$4,AQ$4,$D65:$AM65)</f>
        <v>-45459.2444028991</v>
      </c>
    </row>
    <row r="66" customFormat="false" ht="15" hidden="false" customHeight="false" outlineLevel="0" collapsed="false">
      <c r="A66" s="5" t="s">
        <v>167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</row>
    <row r="67" customFormat="false" ht="15" hidden="false" customHeight="false" outlineLevel="0" collapsed="false">
      <c r="A67" s="10" t="s">
        <v>299</v>
      </c>
      <c r="B67" s="13" t="s">
        <v>161</v>
      </c>
      <c r="C67" s="50" t="n">
        <v>0</v>
      </c>
      <c r="D67" s="45" t="n">
        <f aca="false">C70*taux_pret/12</f>
        <v>0</v>
      </c>
      <c r="E67" s="45" t="n">
        <f aca="false">D70*taux_pret/12</f>
        <v>825</v>
      </c>
      <c r="F67" s="45" t="n">
        <f aca="false">E70*taux_pret/12</f>
        <v>825</v>
      </c>
      <c r="G67" s="45" t="n">
        <f aca="false">F70*taux_pret/12</f>
        <v>825</v>
      </c>
      <c r="H67" s="45" t="n">
        <f aca="false">G70*taux_pret/12</f>
        <v>825</v>
      </c>
      <c r="I67" s="45" t="n">
        <f aca="false">H70*taux_pret/12</f>
        <v>825</v>
      </c>
      <c r="J67" s="45" t="n">
        <f aca="false">I70*taux_pret/12</f>
        <v>825</v>
      </c>
      <c r="K67" s="45" t="n">
        <f aca="false">J70*taux_pret/12</f>
        <v>825</v>
      </c>
      <c r="L67" s="45" t="n">
        <f aca="false">K70*taux_pret/12</f>
        <v>811.188395317884</v>
      </c>
      <c r="M67" s="45" t="n">
        <f aca="false">L70*taux_pret/12</f>
        <v>797.32499711821</v>
      </c>
      <c r="N67" s="45" t="n">
        <f aca="false">M70*taux_pret/12</f>
        <v>783.409611175288</v>
      </c>
      <c r="O67" s="45" t="n">
        <f aca="false">N70*taux_pret/12</f>
        <v>769.442042535079</v>
      </c>
      <c r="P67" s="45" t="n">
        <f aca="false">O70*taux_pret/12</f>
        <v>755.42209551247</v>
      </c>
      <c r="Q67" s="45" t="n">
        <f aca="false">P70*taux_pret/12</f>
        <v>741.349573688526</v>
      </c>
      <c r="R67" s="45" t="n">
        <f aca="false">Q70*taux_pret/12</f>
        <v>727.224279907742</v>
      </c>
      <c r="S67" s="45" t="n">
        <f aca="false">R70*taux_pret/12</f>
        <v>713.04601627528</v>
      </c>
      <c r="T67" s="45" t="n">
        <f aca="false">S70*taux_pret/12</f>
        <v>698.814584154196</v>
      </c>
      <c r="U67" s="45" t="n">
        <f aca="false">T70*taux_pret/12</f>
        <v>684.529784162658</v>
      </c>
      <c r="V67" s="45" t="n">
        <f aca="false">U70*taux_pret/12</f>
        <v>670.191416171153</v>
      </c>
      <c r="W67" s="45" t="n">
        <f aca="false">V70*taux_pret/12</f>
        <v>655.799279299679</v>
      </c>
      <c r="X67" s="45" t="n">
        <f aca="false">W70*taux_pret/12</f>
        <v>641.353171914936</v>
      </c>
      <c r="Y67" s="45" t="n">
        <f aca="false">X70*taux_pret/12</f>
        <v>626.852891627501</v>
      </c>
      <c r="Z67" s="45" t="n">
        <f aca="false">Y70*taux_pret/12</f>
        <v>612.298235288989</v>
      </c>
      <c r="AA67" s="45" t="n">
        <f aca="false">Z70*taux_pret/12</f>
        <v>597.688998989207</v>
      </c>
      <c r="AB67" s="45" t="n">
        <f aca="false">AA70*taux_pret/12</f>
        <v>583.0249780533</v>
      </c>
      <c r="AC67" s="45" t="n">
        <f aca="false">AB70*taux_pret/12</f>
        <v>568.305967038884</v>
      </c>
      <c r="AD67" s="45" t="n">
        <f aca="false">AC70*taux_pret/12</f>
        <v>553.531759733164</v>
      </c>
      <c r="AE67" s="45" t="n">
        <f aca="false">AD70*taux_pret/12</f>
        <v>538.702149150047</v>
      </c>
      <c r="AF67" s="45" t="n">
        <f aca="false">AE70*taux_pret/12</f>
        <v>523.816927527244</v>
      </c>
      <c r="AG67" s="45" t="n">
        <f aca="false">AF70*taux_pret/12</f>
        <v>508.875886323356</v>
      </c>
      <c r="AH67" s="45" t="n">
        <f aca="false">AG70*taux_pret/12</f>
        <v>493.878816214952</v>
      </c>
      <c r="AI67" s="45" t="n">
        <f aca="false">AH70*taux_pret/12</f>
        <v>478.825507093642</v>
      </c>
      <c r="AJ67" s="45" t="n">
        <f aca="false">AI70*taux_pret/12</f>
        <v>463.715748063128</v>
      </c>
      <c r="AK67" s="45" t="n">
        <f aca="false">AJ70*taux_pret/12</f>
        <v>448.549327436248</v>
      </c>
      <c r="AL67" s="45" t="n">
        <f aca="false">AK70*taux_pret/12</f>
        <v>433.326032732019</v>
      </c>
      <c r="AM67" s="45" t="n">
        <f aca="false">AL70*taux_pret/12</f>
        <v>418.045650672648</v>
      </c>
      <c r="AO67" s="45" t="n">
        <f aca="false">SUMIF($D$4:$AM$4,AO$4,$D67:$AM67)</f>
        <v>8936.36504614646</v>
      </c>
      <c r="AP67" s="45" t="n">
        <f aca="false">SUMIF($D$4:$AM$4,AP$4,$D67:$AM67)</f>
        <v>8124.57032699234</v>
      </c>
      <c r="AQ67" s="45" t="n">
        <f aca="false">SUMIF($D$4:$AM$4,AQ$4,$D67:$AM67)</f>
        <v>6012.59875003863</v>
      </c>
    </row>
    <row r="68" customFormat="false" ht="15" hidden="false" customHeight="false" outlineLevel="0" collapsed="false">
      <c r="A68" s="10" t="s">
        <v>298</v>
      </c>
      <c r="B68" s="13" t="s">
        <v>161</v>
      </c>
      <c r="C68" s="50" t="n">
        <v>0</v>
      </c>
      <c r="D68" s="45" t="n">
        <f aca="false">IF(AND(D$6&gt;mois_pret+differe,D$6&lt;=mois_pret+differe+duree_pret),mensualite-D67,0)</f>
        <v>0</v>
      </c>
      <c r="E68" s="45" t="n">
        <f aca="false">IF(AND(E$6&gt;mois_pret+differe,E$6&lt;=mois_pret+differe+duree_pret),mensualite-E67,0)</f>
        <v>0</v>
      </c>
      <c r="F68" s="45" t="n">
        <f aca="false">IF(AND(F$6&gt;mois_pret+differe,F$6&lt;=mois_pret+differe+duree_pret),mensualite-F67,0)</f>
        <v>0</v>
      </c>
      <c r="G68" s="45" t="n">
        <f aca="false">IF(AND(G$6&gt;mois_pret+differe,G$6&lt;=mois_pret+differe+duree_pret),mensualite-G67,0)</f>
        <v>0</v>
      </c>
      <c r="H68" s="45" t="n">
        <f aca="false">IF(AND(H$6&gt;mois_pret+differe,H$6&lt;=mois_pret+differe+duree_pret),mensualite-H67,0)</f>
        <v>0</v>
      </c>
      <c r="I68" s="45" t="n">
        <f aca="false">IF(AND(I$6&gt;mois_pret+differe,I$6&lt;=mois_pret+differe+duree_pret),mensualite-I67,0)</f>
        <v>0</v>
      </c>
      <c r="J68" s="45" t="n">
        <f aca="false">IF(AND(J$6&gt;mois_pret+differe,J$6&lt;=mois_pret+differe+duree_pret),mensualite-J67,0)</f>
        <v>0</v>
      </c>
      <c r="K68" s="45" t="n">
        <f aca="false">IF(AND(K$6&gt;mois_pret+differe,K$6&lt;=mois_pret+differe+duree_pret),mensualite-K67,0)</f>
        <v>3683.09458189757</v>
      </c>
      <c r="L68" s="45" t="n">
        <f aca="false">IF(AND(L$6&gt;mois_pret+differe,L$6&lt;=mois_pret+differe+duree_pret),mensualite-L67,0)</f>
        <v>3696.90618657969</v>
      </c>
      <c r="M68" s="45" t="n">
        <f aca="false">IF(AND(M$6&gt;mois_pret+differe,M$6&lt;=mois_pret+differe+duree_pret),mensualite-M67,0)</f>
        <v>3710.76958477936</v>
      </c>
      <c r="N68" s="45" t="n">
        <f aca="false">IF(AND(N$6&gt;mois_pret+differe,N$6&lt;=mois_pret+differe+duree_pret),mensualite-N67,0)</f>
        <v>3724.68497072228</v>
      </c>
      <c r="O68" s="45" t="n">
        <f aca="false">IF(AND(O$6&gt;mois_pret+differe,O$6&lt;=mois_pret+differe+duree_pret),mensualite-O67,0)</f>
        <v>3738.65253936249</v>
      </c>
      <c r="P68" s="45" t="n">
        <f aca="false">IF(AND(P$6&gt;mois_pret+differe,P$6&lt;=mois_pret+differe+duree_pret),mensualite-P67,0)</f>
        <v>3752.6724863851</v>
      </c>
      <c r="Q68" s="45" t="n">
        <f aca="false">IF(AND(Q$6&gt;mois_pret+differe,Q$6&lt;=mois_pret+differe+duree_pret),mensualite-Q67,0)</f>
        <v>3766.74500820905</v>
      </c>
      <c r="R68" s="45" t="n">
        <f aca="false">IF(AND(R$6&gt;mois_pret+differe,R$6&lt;=mois_pret+differe+duree_pret),mensualite-R67,0)</f>
        <v>3780.87030198983</v>
      </c>
      <c r="S68" s="45" t="n">
        <f aca="false">IF(AND(S$6&gt;mois_pret+differe,S$6&lt;=mois_pret+differe+duree_pret),mensualite-S67,0)</f>
        <v>3795.04856562229</v>
      </c>
      <c r="T68" s="45" t="n">
        <f aca="false">IF(AND(T$6&gt;mois_pret+differe,T$6&lt;=mois_pret+differe+duree_pret),mensualite-T67,0)</f>
        <v>3809.27999774337</v>
      </c>
      <c r="U68" s="45" t="n">
        <f aca="false">IF(AND(U$6&gt;mois_pret+differe,U$6&lt;=mois_pret+differe+duree_pret),mensualite-U67,0)</f>
        <v>3823.56479773491</v>
      </c>
      <c r="V68" s="45" t="n">
        <f aca="false">IF(AND(V$6&gt;mois_pret+differe,V$6&lt;=mois_pret+differe+duree_pret),mensualite-V67,0)</f>
        <v>3837.90316572642</v>
      </c>
      <c r="W68" s="45" t="n">
        <f aca="false">IF(AND(W$6&gt;mois_pret+differe,W$6&lt;=mois_pret+differe+duree_pret),mensualite-W67,0)</f>
        <v>3852.29530259789</v>
      </c>
      <c r="X68" s="45" t="n">
        <f aca="false">IF(AND(X$6&gt;mois_pret+differe,X$6&lt;=mois_pret+differe+duree_pret),mensualite-X67,0)</f>
        <v>3866.74140998263</v>
      </c>
      <c r="Y68" s="45" t="n">
        <f aca="false">IF(AND(Y$6&gt;mois_pret+differe,Y$6&lt;=mois_pret+differe+duree_pret),mensualite-Y67,0)</f>
        <v>3881.24169027007</v>
      </c>
      <c r="Z68" s="45" t="n">
        <f aca="false">IF(AND(Z$6&gt;mois_pret+differe,Z$6&lt;=mois_pret+differe+duree_pret),mensualite-Z67,0)</f>
        <v>3895.79634660858</v>
      </c>
      <c r="AA68" s="45" t="n">
        <f aca="false">IF(AND(AA$6&gt;mois_pret+differe,AA$6&lt;=mois_pret+differe+duree_pret),mensualite-AA67,0)</f>
        <v>3910.40558290836</v>
      </c>
      <c r="AB68" s="45" t="n">
        <f aca="false">IF(AND(AB$6&gt;mois_pret+differe,AB$6&lt;=mois_pret+differe+duree_pret),mensualite-AB67,0)</f>
        <v>3925.06960384427</v>
      </c>
      <c r="AC68" s="45" t="n">
        <f aca="false">IF(AND(AC$6&gt;mois_pret+differe,AC$6&lt;=mois_pret+differe+duree_pret),mensualite-AC67,0)</f>
        <v>3939.78861485869</v>
      </c>
      <c r="AD68" s="45" t="n">
        <f aca="false">IF(AND(AD$6&gt;mois_pret+differe,AD$6&lt;=mois_pret+differe+duree_pret),mensualite-AD67,0)</f>
        <v>3954.56282216441</v>
      </c>
      <c r="AE68" s="45" t="n">
        <f aca="false">IF(AND(AE$6&gt;mois_pret+differe,AE$6&lt;=mois_pret+differe+duree_pret),mensualite-AE67,0)</f>
        <v>3969.39243274752</v>
      </c>
      <c r="AF68" s="45" t="n">
        <f aca="false">IF(AND(AF$6&gt;mois_pret+differe,AF$6&lt;=mois_pret+differe+duree_pret),mensualite-AF67,0)</f>
        <v>3984.27765437033</v>
      </c>
      <c r="AG68" s="45" t="n">
        <f aca="false">IF(AND(AG$6&gt;mois_pret+differe,AG$6&lt;=mois_pret+differe+duree_pret),mensualite-AG67,0)</f>
        <v>3999.21869557422</v>
      </c>
      <c r="AH68" s="45" t="n">
        <f aca="false">IF(AND(AH$6&gt;mois_pret+differe,AH$6&lt;=mois_pret+differe+duree_pret),mensualite-AH67,0)</f>
        <v>4014.21576568262</v>
      </c>
      <c r="AI68" s="45" t="n">
        <f aca="false">IF(AND(AI$6&gt;mois_pret+differe,AI$6&lt;=mois_pret+differe+duree_pret),mensualite-AI67,0)</f>
        <v>4029.26907480393</v>
      </c>
      <c r="AJ68" s="45" t="n">
        <f aca="false">IF(AND(AJ$6&gt;mois_pret+differe,AJ$6&lt;=mois_pret+differe+duree_pret),mensualite-AJ67,0)</f>
        <v>4044.37883383444</v>
      </c>
      <c r="AK68" s="45" t="n">
        <f aca="false">IF(AND(AK$6&gt;mois_pret+differe,AK$6&lt;=mois_pret+differe+duree_pret),mensualite-AK67,0)</f>
        <v>4059.54525446132</v>
      </c>
      <c r="AL68" s="45" t="n">
        <f aca="false">IF(AND(AL$6&gt;mois_pret+differe,AL$6&lt;=mois_pret+differe+duree_pret),mensualite-AL67,0)</f>
        <v>4074.76854916555</v>
      </c>
      <c r="AM68" s="45" t="n">
        <f aca="false">IF(AND(AM$6&gt;mois_pret+differe,AM$6&lt;=mois_pret+differe+duree_pret),mensualite-AM67,0)</f>
        <v>4090.04893122492</v>
      </c>
      <c r="AO68" s="45" t="n">
        <f aca="false">SUMIF($D$4:$AM$4,AO$4,$D68:$AM68)</f>
        <v>18554.1078633414</v>
      </c>
      <c r="AP68" s="45" t="n">
        <f aca="false">SUMIF($D$4:$AM$4,AP$4,$D68:$AM68)</f>
        <v>45972.5646557785</v>
      </c>
      <c r="AQ68" s="45" t="n">
        <f aca="false">SUMIF($D$4:$AM$4,AQ$4,$D68:$AM68)</f>
        <v>48084.5362327322</v>
      </c>
    </row>
    <row r="69" customFormat="false" ht="15" hidden="false" customHeight="false" outlineLevel="0" collapsed="false">
      <c r="A69" s="10" t="s">
        <v>297</v>
      </c>
      <c r="B69" s="13" t="s">
        <v>161</v>
      </c>
      <c r="C69" s="50" t="n">
        <v>0</v>
      </c>
      <c r="D69" s="45" t="n">
        <f aca="false">IF(D$6=mois_pret,pret,0)</f>
        <v>220000</v>
      </c>
      <c r="E69" s="45" t="n">
        <f aca="false">IF(E$6=mois_pret,pret,0)</f>
        <v>0</v>
      </c>
      <c r="F69" s="45" t="n">
        <f aca="false">IF(F$6=mois_pret,pret,0)</f>
        <v>0</v>
      </c>
      <c r="G69" s="45" t="n">
        <f aca="false">IF(G$6=mois_pret,pret,0)</f>
        <v>0</v>
      </c>
      <c r="H69" s="45" t="n">
        <f aca="false">IF(H$6=mois_pret,pret,0)</f>
        <v>0</v>
      </c>
      <c r="I69" s="45" t="n">
        <f aca="false">IF(I$6=mois_pret,pret,0)</f>
        <v>0</v>
      </c>
      <c r="J69" s="45" t="n">
        <f aca="false">IF(J$6=mois_pret,pret,0)</f>
        <v>0</v>
      </c>
      <c r="K69" s="45" t="n">
        <f aca="false">IF(K$6=mois_pret,pret,0)</f>
        <v>0</v>
      </c>
      <c r="L69" s="45" t="n">
        <f aca="false">IF(L$6=mois_pret,pret,0)</f>
        <v>0</v>
      </c>
      <c r="M69" s="45" t="n">
        <f aca="false">IF(M$6=mois_pret,pret,0)</f>
        <v>0</v>
      </c>
      <c r="N69" s="45" t="n">
        <f aca="false">IF(N$6=mois_pret,pret,0)</f>
        <v>0</v>
      </c>
      <c r="O69" s="45" t="n">
        <f aca="false">IF(O$6=mois_pret,pret,0)</f>
        <v>0</v>
      </c>
      <c r="P69" s="45" t="n">
        <f aca="false">IF(P$6=mois_pret,pret,0)</f>
        <v>0</v>
      </c>
      <c r="Q69" s="45" t="n">
        <f aca="false">IF(Q$6=mois_pret,pret,0)</f>
        <v>0</v>
      </c>
      <c r="R69" s="45" t="n">
        <f aca="false">IF(R$6=mois_pret,pret,0)</f>
        <v>0</v>
      </c>
      <c r="S69" s="45" t="n">
        <f aca="false">IF(S$6=mois_pret,pret,0)</f>
        <v>0</v>
      </c>
      <c r="T69" s="45" t="n">
        <f aca="false">IF(T$6=mois_pret,pret,0)</f>
        <v>0</v>
      </c>
      <c r="U69" s="45" t="n">
        <f aca="false">IF(U$6=mois_pret,pret,0)</f>
        <v>0</v>
      </c>
      <c r="V69" s="45" t="n">
        <f aca="false">IF(V$6=mois_pret,pret,0)</f>
        <v>0</v>
      </c>
      <c r="W69" s="45" t="n">
        <f aca="false">IF(W$6=mois_pret,pret,0)</f>
        <v>0</v>
      </c>
      <c r="X69" s="45" t="n">
        <f aca="false">IF(X$6=mois_pret,pret,0)</f>
        <v>0</v>
      </c>
      <c r="Y69" s="45" t="n">
        <f aca="false">IF(Y$6=mois_pret,pret,0)</f>
        <v>0</v>
      </c>
      <c r="Z69" s="45" t="n">
        <f aca="false">IF(Z$6=mois_pret,pret,0)</f>
        <v>0</v>
      </c>
      <c r="AA69" s="45" t="n">
        <f aca="false">IF(AA$6=mois_pret,pret,0)</f>
        <v>0</v>
      </c>
      <c r="AB69" s="45" t="n">
        <f aca="false">IF(AB$6=mois_pret,pret,0)</f>
        <v>0</v>
      </c>
      <c r="AC69" s="45" t="n">
        <f aca="false">IF(AC$6=mois_pret,pret,0)</f>
        <v>0</v>
      </c>
      <c r="AD69" s="45" t="n">
        <f aca="false">IF(AD$6=mois_pret,pret,0)</f>
        <v>0</v>
      </c>
      <c r="AE69" s="45" t="n">
        <f aca="false">IF(AE$6=mois_pret,pret,0)</f>
        <v>0</v>
      </c>
      <c r="AF69" s="45" t="n">
        <f aca="false">IF(AF$6=mois_pret,pret,0)</f>
        <v>0</v>
      </c>
      <c r="AG69" s="45" t="n">
        <f aca="false">IF(AG$6=mois_pret,pret,0)</f>
        <v>0</v>
      </c>
      <c r="AH69" s="45" t="n">
        <f aca="false">IF(AH$6=mois_pret,pret,0)</f>
        <v>0</v>
      </c>
      <c r="AI69" s="45" t="n">
        <f aca="false">IF(AI$6=mois_pret,pret,0)</f>
        <v>0</v>
      </c>
      <c r="AJ69" s="45" t="n">
        <f aca="false">IF(AJ$6=mois_pret,pret,0)</f>
        <v>0</v>
      </c>
      <c r="AK69" s="45" t="n">
        <f aca="false">IF(AK$6=mois_pret,pret,0)</f>
        <v>0</v>
      </c>
      <c r="AL69" s="45" t="n">
        <f aca="false">IF(AL$6=mois_pret,pret,0)</f>
        <v>0</v>
      </c>
      <c r="AM69" s="45" t="n">
        <f aca="false">IF(AM$6=mois_pret,pret,0)</f>
        <v>0</v>
      </c>
      <c r="AO69" s="45" t="n">
        <f aca="false">SUMIF($D$4:$AM$4,AO$4,$D69:$AM69)</f>
        <v>220000</v>
      </c>
      <c r="AP69" s="45" t="n">
        <f aca="false">SUMIF($D$4:$AM$4,AP$4,$D69:$AM69)</f>
        <v>0</v>
      </c>
      <c r="AQ69" s="45" t="n">
        <f aca="false">SUMIF($D$4:$AM$4,AQ$4,$D69:$AM69)</f>
        <v>0</v>
      </c>
    </row>
    <row r="70" customFormat="false" ht="15" hidden="false" customHeight="false" outlineLevel="0" collapsed="false">
      <c r="A70" s="10" t="s">
        <v>425</v>
      </c>
      <c r="B70" s="13" t="s">
        <v>161</v>
      </c>
      <c r="C70" s="50" t="n">
        <v>0</v>
      </c>
      <c r="D70" s="45" t="n">
        <f aca="false">C70+D69-D68</f>
        <v>220000</v>
      </c>
      <c r="E70" s="45" t="n">
        <f aca="false">D70+E69-E68</f>
        <v>220000</v>
      </c>
      <c r="F70" s="45" t="n">
        <f aca="false">E70+F69-F68</f>
        <v>220000</v>
      </c>
      <c r="G70" s="45" t="n">
        <f aca="false">F70+G69-G68</f>
        <v>220000</v>
      </c>
      <c r="H70" s="45" t="n">
        <f aca="false">G70+H69-H68</f>
        <v>220000</v>
      </c>
      <c r="I70" s="45" t="n">
        <f aca="false">H70+I69-I68</f>
        <v>220000</v>
      </c>
      <c r="J70" s="45" t="n">
        <f aca="false">I70+J69-J68</f>
        <v>220000</v>
      </c>
      <c r="K70" s="45" t="n">
        <f aca="false">J70+K69-K68</f>
        <v>216316.905418102</v>
      </c>
      <c r="L70" s="45" t="n">
        <f aca="false">K70+L69-L68</f>
        <v>212619.999231523</v>
      </c>
      <c r="M70" s="45" t="n">
        <f aca="false">L70+M69-M68</f>
        <v>208909.229646743</v>
      </c>
      <c r="N70" s="45" t="n">
        <f aca="false">M70+N69-N68</f>
        <v>205184.544676021</v>
      </c>
      <c r="O70" s="45" t="n">
        <f aca="false">N70+O69-O68</f>
        <v>201445.892136659</v>
      </c>
      <c r="P70" s="45" t="n">
        <f aca="false">O70+P69-P68</f>
        <v>197693.219650274</v>
      </c>
      <c r="Q70" s="45" t="n">
        <f aca="false">P70+Q69-Q68</f>
        <v>193926.474642064</v>
      </c>
      <c r="R70" s="45" t="n">
        <f aca="false">Q70+R69-R68</f>
        <v>190145.604340075</v>
      </c>
      <c r="S70" s="45" t="n">
        <f aca="false">R70+S69-S68</f>
        <v>186350.555774452</v>
      </c>
      <c r="T70" s="45" t="n">
        <f aca="false">S70+T69-T68</f>
        <v>182541.275776709</v>
      </c>
      <c r="U70" s="45" t="n">
        <f aca="false">T70+U69-U68</f>
        <v>178717.710978974</v>
      </c>
      <c r="V70" s="45" t="n">
        <f aca="false">U70+V69-V68</f>
        <v>174879.807813248</v>
      </c>
      <c r="W70" s="45" t="n">
        <f aca="false">V70+W69-W68</f>
        <v>171027.51251065</v>
      </c>
      <c r="X70" s="45" t="n">
        <f aca="false">W70+X69-X68</f>
        <v>167160.771100667</v>
      </c>
      <c r="Y70" s="45" t="n">
        <f aca="false">X70+Y69-Y68</f>
        <v>163279.529410397</v>
      </c>
      <c r="Z70" s="45" t="n">
        <f aca="false">Y70+Z69-Z68</f>
        <v>159383.733063788</v>
      </c>
      <c r="AA70" s="45" t="n">
        <f aca="false">Z70+AA69-AA68</f>
        <v>155473.32748088</v>
      </c>
      <c r="AB70" s="45" t="n">
        <f aca="false">AA70+AB69-AB68</f>
        <v>151548.257877036</v>
      </c>
      <c r="AC70" s="45" t="n">
        <f aca="false">AB70+AC69-AC68</f>
        <v>147608.469262177</v>
      </c>
      <c r="AD70" s="45" t="n">
        <f aca="false">AC70+AD69-AD68</f>
        <v>143653.906440013</v>
      </c>
      <c r="AE70" s="45" t="n">
        <f aca="false">AD70+AE69-AE68</f>
        <v>139684.514007265</v>
      </c>
      <c r="AF70" s="45" t="n">
        <f aca="false">AE70+AF69-AF68</f>
        <v>135700.236352895</v>
      </c>
      <c r="AG70" s="45" t="n">
        <f aca="false">AF70+AG69-AG68</f>
        <v>131701.017657321</v>
      </c>
      <c r="AH70" s="45" t="n">
        <f aca="false">AG70+AH69-AH68</f>
        <v>127686.801891638</v>
      </c>
      <c r="AI70" s="45" t="n">
        <f aca="false">AH70+AI69-AI68</f>
        <v>123657.532816834</v>
      </c>
      <c r="AJ70" s="45" t="n">
        <f aca="false">AI70+AJ69-AJ68</f>
        <v>119613.153983</v>
      </c>
      <c r="AK70" s="45" t="n">
        <f aca="false">AJ70+AK69-AK68</f>
        <v>115553.608728538</v>
      </c>
      <c r="AL70" s="45" t="n">
        <f aca="false">AK70+AL69-AL68</f>
        <v>111478.840179373</v>
      </c>
      <c r="AM70" s="45" t="n">
        <f aca="false">AL70+AM69-AM68</f>
        <v>107388.791248148</v>
      </c>
      <c r="AO70" s="45" t="n">
        <f aca="false">INDEX($D70:$AM70,(AO$4-annee_debut)*12+12)</f>
        <v>201445.892136659</v>
      </c>
      <c r="AP70" s="45" t="n">
        <f aca="false">INDEX($D70:$AM70,(AP$4-annee_debut)*12+12)</f>
        <v>155473.32748088</v>
      </c>
      <c r="AQ70" s="45" t="n">
        <f aca="false">INDEX($D70:$AM70,(AQ$4-annee_debut)*12+12)</f>
        <v>107388.791248148</v>
      </c>
    </row>
    <row r="71" customFormat="false" ht="15" hidden="false" customHeight="false" outlineLevel="0" collapsed="false">
      <c r="A71" s="5" t="s">
        <v>426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</row>
    <row r="72" customFormat="false" ht="15" hidden="false" customHeight="false" outlineLevel="0" collapsed="false">
      <c r="A72" s="11" t="s">
        <v>273</v>
      </c>
      <c r="B72" s="13" t="s">
        <v>161</v>
      </c>
      <c r="C72" s="50" t="n">
        <v>0</v>
      </c>
      <c r="D72" s="44" t="n">
        <f aca="false">D65-D67</f>
        <v>-22086.3098412698</v>
      </c>
      <c r="E72" s="44" t="n">
        <f aca="false">E65-E67</f>
        <v>-21821.5766412698</v>
      </c>
      <c r="F72" s="44" t="n">
        <f aca="false">F65-F67</f>
        <v>-20526.2059636182</v>
      </c>
      <c r="G72" s="44" t="n">
        <f aca="false">G65-G67</f>
        <v>-24062.7636435397</v>
      </c>
      <c r="H72" s="44" t="n">
        <f aca="false">H65-H67</f>
        <v>-22670.1815996784</v>
      </c>
      <c r="I72" s="44" t="n">
        <f aca="false">I65-I67</f>
        <v>-21204.6884481978</v>
      </c>
      <c r="J72" s="44" t="n">
        <f aca="false">J65-J67</f>
        <v>-20066.6457910069</v>
      </c>
      <c r="K72" s="44" t="n">
        <f aca="false">K65-K67</f>
        <v>-20690.9118879924</v>
      </c>
      <c r="L72" s="44" t="n">
        <f aca="false">L65-L67</f>
        <v>-17419.8251112886</v>
      </c>
      <c r="M72" s="44" t="n">
        <f aca="false">M65-M67</f>
        <v>-16364.1425353202</v>
      </c>
      <c r="N72" s="44" t="n">
        <f aca="false">N65-N67</f>
        <v>-15496.3889802774</v>
      </c>
      <c r="O72" s="44" t="n">
        <f aca="false">O65-O67</f>
        <v>-14073.841225561</v>
      </c>
      <c r="P72" s="44" t="n">
        <f aca="false">P65-P67</f>
        <v>-20243.9278774265</v>
      </c>
      <c r="Q72" s="44" t="n">
        <f aca="false">Q65-Q67</f>
        <v>-21648.6420532083</v>
      </c>
      <c r="R72" s="44" t="n">
        <f aca="false">R65-R67</f>
        <v>-18543.1259822242</v>
      </c>
      <c r="S72" s="44" t="n">
        <f aca="false">S65-S67</f>
        <v>-18845.7243909184</v>
      </c>
      <c r="T72" s="44" t="n">
        <f aca="false">T65-T67</f>
        <v>-15892.4204237772</v>
      </c>
      <c r="U72" s="44" t="n">
        <f aca="false">U65-U67</f>
        <v>-12859.0690404117</v>
      </c>
      <c r="V72" s="44" t="n">
        <f aca="false">V65-V67</f>
        <v>-11283.5278415611</v>
      </c>
      <c r="W72" s="44" t="n">
        <f aca="false">W65-W67</f>
        <v>-15721.7507784127</v>
      </c>
      <c r="X72" s="44" t="n">
        <f aca="false">X65-X67</f>
        <v>-10002.4873804734</v>
      </c>
      <c r="Y72" s="44" t="n">
        <f aca="false">Y65-Y67</f>
        <v>-8589.28474597444</v>
      </c>
      <c r="Z72" s="44" t="n">
        <f aca="false">Z65-Z67</f>
        <v>-7202.98770704766</v>
      </c>
      <c r="AA72" s="44" t="n">
        <f aca="false">AA65-AA67</f>
        <v>-6517.22858393857</v>
      </c>
      <c r="AB72" s="44" t="n">
        <f aca="false">AB65-AB67</f>
        <v>-13985.463968584</v>
      </c>
      <c r="AC72" s="44" t="n">
        <f aca="false">AC65-AC67</f>
        <v>-13755.6964532708</v>
      </c>
      <c r="AD72" s="44" t="n">
        <f aca="false">AD65-AD67</f>
        <v>-12625.3249791661</v>
      </c>
      <c r="AE72" s="44" t="n">
        <f aca="false">AE65-AE67</f>
        <v>-9098.29405304578</v>
      </c>
      <c r="AF72" s="44" t="n">
        <f aca="false">AF65-AF67</f>
        <v>-4812.86964302366</v>
      </c>
      <c r="AG72" s="44" t="n">
        <f aca="false">AG65-AG67</f>
        <v>-462.836957415482</v>
      </c>
      <c r="AH72" s="44" t="n">
        <f aca="false">AH65-AH67</f>
        <v>814.165519328134</v>
      </c>
      <c r="AI72" s="44" t="n">
        <f aca="false">AI65-AI67</f>
        <v>-9941.92703701843</v>
      </c>
      <c r="AJ72" s="44" t="n">
        <f aca="false">AJ65-AJ67</f>
        <v>419.991334077108</v>
      </c>
      <c r="AK72" s="44" t="n">
        <f aca="false">AK65-AK67</f>
        <v>1779.38458284597</v>
      </c>
      <c r="AL72" s="44" t="n">
        <f aca="false">AL65-AL67</f>
        <v>2938.7354992306</v>
      </c>
      <c r="AM72" s="44" t="n">
        <f aca="false">AM65-AM67</f>
        <v>7258.29300310476</v>
      </c>
      <c r="AO72" s="44" t="n">
        <f aca="false">SUMIF($D$4:$AM$4,AO$4,$D72:$AM72)</f>
        <v>-236483.48166902</v>
      </c>
      <c r="AP72" s="44" t="n">
        <f aca="false">SUMIF($D$4:$AM$4,AP$4,$D72:$AM72)</f>
        <v>-167350.176805374</v>
      </c>
      <c r="AQ72" s="44" t="n">
        <f aca="false">SUMIF($D$4:$AM$4,AQ$4,$D72:$AM72)</f>
        <v>-51471.8431529377</v>
      </c>
    </row>
    <row r="73" customFormat="false" ht="15" hidden="false" customHeight="false" outlineLevel="0" collapsed="false">
      <c r="A73" s="10" t="s">
        <v>427</v>
      </c>
      <c r="B73" s="13" t="s">
        <v>161</v>
      </c>
      <c r="C73" s="50" t="n">
        <v>0</v>
      </c>
      <c r="D73" s="45" t="n">
        <f aca="false">IF(D$5=12,taux_is*MAX(0,SUMIF($D$4:$AM$4,D$4,$D72:$AM72)-C74),0)</f>
        <v>0</v>
      </c>
      <c r="E73" s="45" t="n">
        <f aca="false">IF(E$5=12,taux_is*MAX(0,SUMIF($D$4:$AM$4,E$4,$D72:$AM72)-D74),0)</f>
        <v>0</v>
      </c>
      <c r="F73" s="45" t="n">
        <f aca="false">IF(F$5=12,taux_is*MAX(0,SUMIF($D$4:$AM$4,F$4,$D72:$AM72)-E74),0)</f>
        <v>0</v>
      </c>
      <c r="G73" s="45" t="n">
        <f aca="false">IF(G$5=12,taux_is*MAX(0,SUMIF($D$4:$AM$4,G$4,$D72:$AM72)-F74),0)</f>
        <v>0</v>
      </c>
      <c r="H73" s="45" t="n">
        <f aca="false">IF(H$5=12,taux_is*MAX(0,SUMIF($D$4:$AM$4,H$4,$D72:$AM72)-G74),0)</f>
        <v>0</v>
      </c>
      <c r="I73" s="45" t="n">
        <f aca="false">IF(I$5=12,taux_is*MAX(0,SUMIF($D$4:$AM$4,I$4,$D72:$AM72)-H74),0)</f>
        <v>0</v>
      </c>
      <c r="J73" s="45" t="n">
        <f aca="false">IF(J$5=12,taux_is*MAX(0,SUMIF($D$4:$AM$4,J$4,$D72:$AM72)-I74),0)</f>
        <v>0</v>
      </c>
      <c r="K73" s="45" t="n">
        <f aca="false">IF(K$5=12,taux_is*MAX(0,SUMIF($D$4:$AM$4,K$4,$D72:$AM72)-J74),0)</f>
        <v>0</v>
      </c>
      <c r="L73" s="45" t="n">
        <f aca="false">IF(L$5=12,taux_is*MAX(0,SUMIF($D$4:$AM$4,L$4,$D72:$AM72)-K74),0)</f>
        <v>0</v>
      </c>
      <c r="M73" s="45" t="n">
        <f aca="false">IF(M$5=12,taux_is*MAX(0,SUMIF($D$4:$AM$4,M$4,$D72:$AM72)-L74),0)</f>
        <v>0</v>
      </c>
      <c r="N73" s="45" t="n">
        <f aca="false">IF(N$5=12,taux_is*MAX(0,SUMIF($D$4:$AM$4,N$4,$D72:$AM72)-M74),0)</f>
        <v>0</v>
      </c>
      <c r="O73" s="45" t="n">
        <f aca="false">IF(O$5=12,taux_is*MAX(0,SUMIF($D$4:$AM$4,O$4,$D72:$AM72)-N74),0)</f>
        <v>0</v>
      </c>
      <c r="P73" s="45" t="n">
        <f aca="false">IF(P$5=12,taux_is*MAX(0,SUMIF($D$4:$AM$4,P$4,$D72:$AM72)-O74),0)</f>
        <v>0</v>
      </c>
      <c r="Q73" s="45" t="n">
        <f aca="false">IF(Q$5=12,taux_is*MAX(0,SUMIF($D$4:$AM$4,Q$4,$D72:$AM72)-P74),0)</f>
        <v>0</v>
      </c>
      <c r="R73" s="45" t="n">
        <f aca="false">IF(R$5=12,taux_is*MAX(0,SUMIF($D$4:$AM$4,R$4,$D72:$AM72)-Q74),0)</f>
        <v>0</v>
      </c>
      <c r="S73" s="45" t="n">
        <f aca="false">IF(S$5=12,taux_is*MAX(0,SUMIF($D$4:$AM$4,S$4,$D72:$AM72)-R74),0)</f>
        <v>0</v>
      </c>
      <c r="T73" s="45" t="n">
        <f aca="false">IF(T$5=12,taux_is*MAX(0,SUMIF($D$4:$AM$4,T$4,$D72:$AM72)-S74),0)</f>
        <v>0</v>
      </c>
      <c r="U73" s="45" t="n">
        <f aca="false">IF(U$5=12,taux_is*MAX(0,SUMIF($D$4:$AM$4,U$4,$D72:$AM72)-T74),0)</f>
        <v>0</v>
      </c>
      <c r="V73" s="45" t="n">
        <f aca="false">IF(V$5=12,taux_is*MAX(0,SUMIF($D$4:$AM$4,V$4,$D72:$AM72)-U74),0)</f>
        <v>0</v>
      </c>
      <c r="W73" s="45" t="n">
        <f aca="false">IF(W$5=12,taux_is*MAX(0,SUMIF($D$4:$AM$4,W$4,$D72:$AM72)-V74),0)</f>
        <v>0</v>
      </c>
      <c r="X73" s="45" t="n">
        <f aca="false">IF(X$5=12,taux_is*MAX(0,SUMIF($D$4:$AM$4,X$4,$D72:$AM72)-W74),0)</f>
        <v>0</v>
      </c>
      <c r="Y73" s="45" t="n">
        <f aca="false">IF(Y$5=12,taux_is*MAX(0,SUMIF($D$4:$AM$4,Y$4,$D72:$AM72)-X74),0)</f>
        <v>0</v>
      </c>
      <c r="Z73" s="45" t="n">
        <f aca="false">IF(Z$5=12,taux_is*MAX(0,SUMIF($D$4:$AM$4,Z$4,$D72:$AM72)-Y74),0)</f>
        <v>0</v>
      </c>
      <c r="AA73" s="45" t="n">
        <f aca="false">IF(AA$5=12,taux_is*MAX(0,SUMIF($D$4:$AM$4,AA$4,$D72:$AM72)-Z74),0)</f>
        <v>0</v>
      </c>
      <c r="AB73" s="45" t="n">
        <f aca="false">IF(AB$5=12,taux_is*MAX(0,SUMIF($D$4:$AM$4,AB$4,$D72:$AM72)-AA74),0)</f>
        <v>0</v>
      </c>
      <c r="AC73" s="45" t="n">
        <f aca="false">IF(AC$5=12,taux_is*MAX(0,SUMIF($D$4:$AM$4,AC$4,$D72:$AM72)-AB74),0)</f>
        <v>0</v>
      </c>
      <c r="AD73" s="45" t="n">
        <f aca="false">IF(AD$5=12,taux_is*MAX(0,SUMIF($D$4:$AM$4,AD$4,$D72:$AM72)-AC74),0)</f>
        <v>0</v>
      </c>
      <c r="AE73" s="45" t="n">
        <f aca="false">IF(AE$5=12,taux_is*MAX(0,SUMIF($D$4:$AM$4,AE$4,$D72:$AM72)-AD74),0)</f>
        <v>0</v>
      </c>
      <c r="AF73" s="45" t="n">
        <f aca="false">IF(AF$5=12,taux_is*MAX(0,SUMIF($D$4:$AM$4,AF$4,$D72:$AM72)-AE74),0)</f>
        <v>0</v>
      </c>
      <c r="AG73" s="45" t="n">
        <f aca="false">IF(AG$5=12,taux_is*MAX(0,SUMIF($D$4:$AM$4,AG$4,$D72:$AM72)-AF74),0)</f>
        <v>0</v>
      </c>
      <c r="AH73" s="45" t="n">
        <f aca="false">IF(AH$5=12,taux_is*MAX(0,SUMIF($D$4:$AM$4,AH$4,$D72:$AM72)-AG74),0)</f>
        <v>0</v>
      </c>
      <c r="AI73" s="45" t="n">
        <f aca="false">IF(AI$5=12,taux_is*MAX(0,SUMIF($D$4:$AM$4,AI$4,$D72:$AM72)-AH74),0)</f>
        <v>0</v>
      </c>
      <c r="AJ73" s="45" t="n">
        <f aca="false">IF(AJ$5=12,taux_is*MAX(0,SUMIF($D$4:$AM$4,AJ$4,$D72:$AM72)-AI74),0)</f>
        <v>0</v>
      </c>
      <c r="AK73" s="45" t="n">
        <f aca="false">IF(AK$5=12,taux_is*MAX(0,SUMIF($D$4:$AM$4,AK$4,$D72:$AM72)-AJ74),0)</f>
        <v>0</v>
      </c>
      <c r="AL73" s="45" t="n">
        <f aca="false">IF(AL$5=12,taux_is*MAX(0,SUMIF($D$4:$AM$4,AL$4,$D72:$AM72)-AK74),0)</f>
        <v>0</v>
      </c>
      <c r="AM73" s="45" t="n">
        <f aca="false">IF(AM$5=12,taux_is*MAX(0,SUMIF($D$4:$AM$4,AM$4,$D72:$AM72)-AL74),0)</f>
        <v>0</v>
      </c>
      <c r="AO73" s="45" t="n">
        <f aca="false">SUMIF($D$4:$AM$4,AO$4,$D73:$AM73)</f>
        <v>0</v>
      </c>
      <c r="AP73" s="45" t="n">
        <f aca="false">SUMIF($D$4:$AM$4,AP$4,$D73:$AM73)</f>
        <v>0</v>
      </c>
      <c r="AQ73" s="45" t="n">
        <f aca="false">SUMIF($D$4:$AM$4,AQ$4,$D73:$AM73)</f>
        <v>0</v>
      </c>
    </row>
    <row r="74" customFormat="false" ht="15" hidden="false" customHeight="false" outlineLevel="0" collapsed="false">
      <c r="A74" s="10" t="s">
        <v>428</v>
      </c>
      <c r="B74" s="13" t="s">
        <v>161</v>
      </c>
      <c r="C74" s="50" t="n">
        <v>0</v>
      </c>
      <c r="D74" s="45" t="n">
        <f aca="false">IF(D$5=12,MAX(0,C74-SUMIF($D$4:$AM$4,D$4,$D72:$AM72)),C74)</f>
        <v>0</v>
      </c>
      <c r="E74" s="45" t="n">
        <f aca="false">IF(E$5=12,MAX(0,D74-SUMIF($D$4:$AM$4,E$4,$D72:$AM72)),D74)</f>
        <v>0</v>
      </c>
      <c r="F74" s="45" t="n">
        <f aca="false">IF(F$5=12,MAX(0,E74-SUMIF($D$4:$AM$4,F$4,$D72:$AM72)),E74)</f>
        <v>0</v>
      </c>
      <c r="G74" s="45" t="n">
        <f aca="false">IF(G$5=12,MAX(0,F74-SUMIF($D$4:$AM$4,G$4,$D72:$AM72)),F74)</f>
        <v>0</v>
      </c>
      <c r="H74" s="45" t="n">
        <f aca="false">IF(H$5=12,MAX(0,G74-SUMIF($D$4:$AM$4,H$4,$D72:$AM72)),G74)</f>
        <v>0</v>
      </c>
      <c r="I74" s="45" t="n">
        <f aca="false">IF(I$5=12,MAX(0,H74-SUMIF($D$4:$AM$4,I$4,$D72:$AM72)),H74)</f>
        <v>0</v>
      </c>
      <c r="J74" s="45" t="n">
        <f aca="false">IF(J$5=12,MAX(0,I74-SUMIF($D$4:$AM$4,J$4,$D72:$AM72)),I74)</f>
        <v>0</v>
      </c>
      <c r="K74" s="45" t="n">
        <f aca="false">IF(K$5=12,MAX(0,J74-SUMIF($D$4:$AM$4,K$4,$D72:$AM72)),J74)</f>
        <v>0</v>
      </c>
      <c r="L74" s="45" t="n">
        <f aca="false">IF(L$5=12,MAX(0,K74-SUMIF($D$4:$AM$4,L$4,$D72:$AM72)),K74)</f>
        <v>0</v>
      </c>
      <c r="M74" s="45" t="n">
        <f aca="false">IF(M$5=12,MAX(0,L74-SUMIF($D$4:$AM$4,M$4,$D72:$AM72)),L74)</f>
        <v>0</v>
      </c>
      <c r="N74" s="45" t="n">
        <f aca="false">IF(N$5=12,MAX(0,M74-SUMIF($D$4:$AM$4,N$4,$D72:$AM72)),M74)</f>
        <v>0</v>
      </c>
      <c r="O74" s="45" t="n">
        <f aca="false">IF(O$5=12,MAX(0,N74-SUMIF($D$4:$AM$4,O$4,$D72:$AM72)),N74)</f>
        <v>236483.48166902</v>
      </c>
      <c r="P74" s="45" t="n">
        <f aca="false">IF(P$5=12,MAX(0,O74-SUMIF($D$4:$AM$4,P$4,$D72:$AM72)),O74)</f>
        <v>236483.48166902</v>
      </c>
      <c r="Q74" s="45" t="n">
        <f aca="false">IF(Q$5=12,MAX(0,P74-SUMIF($D$4:$AM$4,Q$4,$D72:$AM72)),P74)</f>
        <v>236483.48166902</v>
      </c>
      <c r="R74" s="45" t="n">
        <f aca="false">IF(R$5=12,MAX(0,Q74-SUMIF($D$4:$AM$4,R$4,$D72:$AM72)),Q74)</f>
        <v>236483.48166902</v>
      </c>
      <c r="S74" s="45" t="n">
        <f aca="false">IF(S$5=12,MAX(0,R74-SUMIF($D$4:$AM$4,S$4,$D72:$AM72)),R74)</f>
        <v>236483.48166902</v>
      </c>
      <c r="T74" s="45" t="n">
        <f aca="false">IF(T$5=12,MAX(0,S74-SUMIF($D$4:$AM$4,T$4,$D72:$AM72)),S74)</f>
        <v>236483.48166902</v>
      </c>
      <c r="U74" s="45" t="n">
        <f aca="false">IF(U$5=12,MAX(0,T74-SUMIF($D$4:$AM$4,U$4,$D72:$AM72)),T74)</f>
        <v>236483.48166902</v>
      </c>
      <c r="V74" s="45" t="n">
        <f aca="false">IF(V$5=12,MAX(0,U74-SUMIF($D$4:$AM$4,V$4,$D72:$AM72)),U74)</f>
        <v>236483.48166902</v>
      </c>
      <c r="W74" s="45" t="n">
        <f aca="false">IF(W$5=12,MAX(0,V74-SUMIF($D$4:$AM$4,W$4,$D72:$AM72)),V74)</f>
        <v>236483.48166902</v>
      </c>
      <c r="X74" s="45" t="n">
        <f aca="false">IF(X$5=12,MAX(0,W74-SUMIF($D$4:$AM$4,X$4,$D72:$AM72)),W74)</f>
        <v>236483.48166902</v>
      </c>
      <c r="Y74" s="45" t="n">
        <f aca="false">IF(Y$5=12,MAX(0,X74-SUMIF($D$4:$AM$4,Y$4,$D72:$AM72)),X74)</f>
        <v>236483.48166902</v>
      </c>
      <c r="Z74" s="45" t="n">
        <f aca="false">IF(Z$5=12,MAX(0,Y74-SUMIF($D$4:$AM$4,Z$4,$D72:$AM72)),Y74)</f>
        <v>236483.48166902</v>
      </c>
      <c r="AA74" s="45" t="n">
        <f aca="false">IF(AA$5=12,MAX(0,Z74-SUMIF($D$4:$AM$4,AA$4,$D72:$AM72)),Z74)</f>
        <v>403833.658474394</v>
      </c>
      <c r="AB74" s="45" t="n">
        <f aca="false">IF(AB$5=12,MAX(0,AA74-SUMIF($D$4:$AM$4,AB$4,$D72:$AM72)),AA74)</f>
        <v>403833.658474394</v>
      </c>
      <c r="AC74" s="45" t="n">
        <f aca="false">IF(AC$5=12,MAX(0,AB74-SUMIF($D$4:$AM$4,AC$4,$D72:$AM72)),AB74)</f>
        <v>403833.658474394</v>
      </c>
      <c r="AD74" s="45" t="n">
        <f aca="false">IF(AD$5=12,MAX(0,AC74-SUMIF($D$4:$AM$4,AD$4,$D72:$AM72)),AC74)</f>
        <v>403833.658474394</v>
      </c>
      <c r="AE74" s="45" t="n">
        <f aca="false">IF(AE$5=12,MAX(0,AD74-SUMIF($D$4:$AM$4,AE$4,$D72:$AM72)),AD74)</f>
        <v>403833.658474394</v>
      </c>
      <c r="AF74" s="45" t="n">
        <f aca="false">IF(AF$5=12,MAX(0,AE74-SUMIF($D$4:$AM$4,AF$4,$D72:$AM72)),AE74)</f>
        <v>403833.658474394</v>
      </c>
      <c r="AG74" s="45" t="n">
        <f aca="false">IF(AG$5=12,MAX(0,AF74-SUMIF($D$4:$AM$4,AG$4,$D72:$AM72)),AF74)</f>
        <v>403833.658474394</v>
      </c>
      <c r="AH74" s="45" t="n">
        <f aca="false">IF(AH$5=12,MAX(0,AG74-SUMIF($D$4:$AM$4,AH$4,$D72:$AM72)),AG74)</f>
        <v>403833.658474394</v>
      </c>
      <c r="AI74" s="45" t="n">
        <f aca="false">IF(AI$5=12,MAX(0,AH74-SUMIF($D$4:$AM$4,AI$4,$D72:$AM72)),AH74)</f>
        <v>403833.658474394</v>
      </c>
      <c r="AJ74" s="45" t="n">
        <f aca="false">IF(AJ$5=12,MAX(0,AI74-SUMIF($D$4:$AM$4,AJ$4,$D72:$AM72)),AI74)</f>
        <v>403833.658474394</v>
      </c>
      <c r="AK74" s="45" t="n">
        <f aca="false">IF(AK$5=12,MAX(0,AJ74-SUMIF($D$4:$AM$4,AK$4,$D72:$AM72)),AJ74)</f>
        <v>403833.658474394</v>
      </c>
      <c r="AL74" s="45" t="n">
        <f aca="false">IF(AL$5=12,MAX(0,AK74-SUMIF($D$4:$AM$4,AL$4,$D72:$AM72)),AK74)</f>
        <v>403833.658474394</v>
      </c>
      <c r="AM74" s="45" t="n">
        <f aca="false">IF(AM$5=12,MAX(0,AL74-SUMIF($D$4:$AM$4,AM$4,$D72:$AM72)),AL74)</f>
        <v>455305.501627332</v>
      </c>
      <c r="AO74" s="45" t="n">
        <f aca="false">INDEX($D74:$AM74,(AO$4-annee_debut)*12+12)</f>
        <v>236483.48166902</v>
      </c>
      <c r="AP74" s="45" t="n">
        <f aca="false">INDEX($D74:$AM74,(AP$4-annee_debut)*12+12)</f>
        <v>403833.658474394</v>
      </c>
      <c r="AQ74" s="45" t="n">
        <f aca="false">INDEX($D74:$AM74,(AQ$4-annee_debut)*12+12)</f>
        <v>455305.501627332</v>
      </c>
    </row>
    <row r="75" customFormat="false" ht="15" hidden="false" customHeight="false" outlineLevel="0" collapsed="false">
      <c r="A75" s="11" t="s">
        <v>228</v>
      </c>
      <c r="B75" s="13" t="s">
        <v>161</v>
      </c>
      <c r="C75" s="50" t="n">
        <v>0</v>
      </c>
      <c r="D75" s="44" t="n">
        <f aca="false">D72-D73</f>
        <v>-22086.3098412698</v>
      </c>
      <c r="E75" s="44" t="n">
        <f aca="false">E72-E73</f>
        <v>-21821.5766412698</v>
      </c>
      <c r="F75" s="44" t="n">
        <f aca="false">F72-F73</f>
        <v>-20526.2059636182</v>
      </c>
      <c r="G75" s="44" t="n">
        <f aca="false">G72-G73</f>
        <v>-24062.7636435397</v>
      </c>
      <c r="H75" s="44" t="n">
        <f aca="false">H72-H73</f>
        <v>-22670.1815996784</v>
      </c>
      <c r="I75" s="44" t="n">
        <f aca="false">I72-I73</f>
        <v>-21204.6884481978</v>
      </c>
      <c r="J75" s="44" t="n">
        <f aca="false">J72-J73</f>
        <v>-20066.6457910069</v>
      </c>
      <c r="K75" s="44" t="n">
        <f aca="false">K72-K73</f>
        <v>-20690.9118879924</v>
      </c>
      <c r="L75" s="44" t="n">
        <f aca="false">L72-L73</f>
        <v>-17419.8251112886</v>
      </c>
      <c r="M75" s="44" t="n">
        <f aca="false">M72-M73</f>
        <v>-16364.1425353202</v>
      </c>
      <c r="N75" s="44" t="n">
        <f aca="false">N72-N73</f>
        <v>-15496.3889802774</v>
      </c>
      <c r="O75" s="44" t="n">
        <f aca="false">O72-O73</f>
        <v>-14073.841225561</v>
      </c>
      <c r="P75" s="44" t="n">
        <f aca="false">P72-P73</f>
        <v>-20243.9278774265</v>
      </c>
      <c r="Q75" s="44" t="n">
        <f aca="false">Q72-Q73</f>
        <v>-21648.6420532083</v>
      </c>
      <c r="R75" s="44" t="n">
        <f aca="false">R72-R73</f>
        <v>-18543.1259822242</v>
      </c>
      <c r="S75" s="44" t="n">
        <f aca="false">S72-S73</f>
        <v>-18845.7243909184</v>
      </c>
      <c r="T75" s="44" t="n">
        <f aca="false">T72-T73</f>
        <v>-15892.4204237772</v>
      </c>
      <c r="U75" s="44" t="n">
        <f aca="false">U72-U73</f>
        <v>-12859.0690404117</v>
      </c>
      <c r="V75" s="44" t="n">
        <f aca="false">V72-V73</f>
        <v>-11283.5278415611</v>
      </c>
      <c r="W75" s="44" t="n">
        <f aca="false">W72-W73</f>
        <v>-15721.7507784127</v>
      </c>
      <c r="X75" s="44" t="n">
        <f aca="false">X72-X73</f>
        <v>-10002.4873804734</v>
      </c>
      <c r="Y75" s="44" t="n">
        <f aca="false">Y72-Y73</f>
        <v>-8589.28474597444</v>
      </c>
      <c r="Z75" s="44" t="n">
        <f aca="false">Z72-Z73</f>
        <v>-7202.98770704766</v>
      </c>
      <c r="AA75" s="44" t="n">
        <f aca="false">AA72-AA73</f>
        <v>-6517.22858393857</v>
      </c>
      <c r="AB75" s="44" t="n">
        <f aca="false">AB72-AB73</f>
        <v>-13985.463968584</v>
      </c>
      <c r="AC75" s="44" t="n">
        <f aca="false">AC72-AC73</f>
        <v>-13755.6964532708</v>
      </c>
      <c r="AD75" s="44" t="n">
        <f aca="false">AD72-AD73</f>
        <v>-12625.3249791661</v>
      </c>
      <c r="AE75" s="44" t="n">
        <f aca="false">AE72-AE73</f>
        <v>-9098.29405304578</v>
      </c>
      <c r="AF75" s="44" t="n">
        <f aca="false">AF72-AF73</f>
        <v>-4812.86964302366</v>
      </c>
      <c r="AG75" s="44" t="n">
        <f aca="false">AG72-AG73</f>
        <v>-462.836957415482</v>
      </c>
      <c r="AH75" s="44" t="n">
        <f aca="false">AH72-AH73</f>
        <v>814.165519328134</v>
      </c>
      <c r="AI75" s="44" t="n">
        <f aca="false">AI72-AI73</f>
        <v>-9941.92703701843</v>
      </c>
      <c r="AJ75" s="44" t="n">
        <f aca="false">AJ72-AJ73</f>
        <v>419.991334077108</v>
      </c>
      <c r="AK75" s="44" t="n">
        <f aca="false">AK72-AK73</f>
        <v>1779.38458284597</v>
      </c>
      <c r="AL75" s="44" t="n">
        <f aca="false">AL72-AL73</f>
        <v>2938.7354992306</v>
      </c>
      <c r="AM75" s="44" t="n">
        <f aca="false">AM72-AM73</f>
        <v>7258.29300310476</v>
      </c>
      <c r="AO75" s="44" t="n">
        <f aca="false">SUMIF($D$4:$AM$4,AO$4,$D75:$AM75)</f>
        <v>-236483.48166902</v>
      </c>
      <c r="AP75" s="44" t="n">
        <f aca="false">SUMIF($D$4:$AM$4,AP$4,$D75:$AM75)</f>
        <v>-167350.176805374</v>
      </c>
      <c r="AQ75" s="44" t="n">
        <f aca="false">SUMIF($D$4:$AM$4,AQ$4,$D75:$AM75)</f>
        <v>-51471.8431529377</v>
      </c>
    </row>
    <row r="76" customFormat="false" ht="15" hidden="false" customHeight="false" outlineLevel="0" collapsed="false">
      <c r="A76" s="5" t="s">
        <v>331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</row>
    <row r="77" customFormat="false" ht="15" hidden="false" customHeight="false" outlineLevel="0" collapsed="false">
      <c r="A77" s="10" t="s">
        <v>429</v>
      </c>
      <c r="B77" s="13" t="s">
        <v>161</v>
      </c>
      <c r="C77" s="50" t="n">
        <v>0</v>
      </c>
      <c r="D77" s="45" t="n">
        <f aca="false">D19*delai_clients_c/jours_mois</f>
        <v>952.5</v>
      </c>
      <c r="E77" s="45" t="n">
        <f aca="false">E19*delai_clients_c/jours_mois</f>
        <v>2846.07</v>
      </c>
      <c r="F77" s="45" t="n">
        <f aca="false">F19*delai_clients_c/jours_mois</f>
        <v>4939.76364</v>
      </c>
      <c r="G77" s="45" t="n">
        <f aca="false">G19*delai_clients_c/jours_mois</f>
        <v>6999.555405216</v>
      </c>
      <c r="H77" s="45" t="n">
        <f aca="false">H19*delai_clients_c/jours_mois</f>
        <v>9184.43089297728</v>
      </c>
      <c r="I77" s="45" t="n">
        <f aca="false">I19*delai_clients_c/jours_mois</f>
        <v>11448.2334330539</v>
      </c>
      <c r="J77" s="45" t="n">
        <f aca="false">J19*delai_clients_c/jours_mois</f>
        <v>13110.3071095944</v>
      </c>
      <c r="K77" s="45" t="n">
        <f aca="false">K19*delai_clients_c/jours_mois</f>
        <v>11792.3754909816</v>
      </c>
      <c r="L77" s="45" t="n">
        <f aca="false">L19*delai_clients_c/jours_mois</f>
        <v>16942.5276231879</v>
      </c>
      <c r="M77" s="45" t="n">
        <f aca="false">M19*delai_clients_c/jours_mois</f>
        <v>18499.1948348744</v>
      </c>
      <c r="N77" s="45" t="n">
        <f aca="false">N19*delai_clients_c/jours_mois</f>
        <v>19790.521215826</v>
      </c>
      <c r="O77" s="45" t="n">
        <f aca="false">O19*delai_clients_c/jours_mois</f>
        <v>21936.8716823411</v>
      </c>
      <c r="P77" s="45" t="n">
        <f aca="false">P19*delai_clients_c/jours_mois</f>
        <v>23650.2624773833</v>
      </c>
      <c r="Q77" s="45" t="n">
        <f aca="false">Q19*delai_clients_c/jours_mois</f>
        <v>27252.6593276547</v>
      </c>
      <c r="R77" s="45" t="n">
        <f aca="false">R19*delai_clients_c/jours_mois</f>
        <v>32267.5043015051</v>
      </c>
      <c r="S77" s="45" t="n">
        <f aca="false">S19*delai_clients_c/jours_mois</f>
        <v>36598.8177551481</v>
      </c>
      <c r="T77" s="45" t="n">
        <f aca="false">T19*delai_clients_c/jours_mois</f>
        <v>41374.4401768833</v>
      </c>
      <c r="U77" s="45" t="n">
        <f aca="false">U19*delai_clients_c/jours_mois</f>
        <v>46300.2163107401</v>
      </c>
      <c r="V77" s="45" t="n">
        <f aca="false">V19*delai_clients_c/jours_mois</f>
        <v>48843.1707320236</v>
      </c>
      <c r="W77" s="45" t="n">
        <f aca="false">W19*delai_clients_c/jours_mois</f>
        <v>41177.2614566409</v>
      </c>
      <c r="X77" s="45" t="n">
        <f aca="false">X19*delai_clients_c/jours_mois</f>
        <v>56133.7272510404</v>
      </c>
      <c r="Y77" s="45" t="n">
        <f aca="false">Y19*delai_clients_c/jours_mois</f>
        <v>58682.4976746922</v>
      </c>
      <c r="Z77" s="45" t="n">
        <f aca="false">Z19*delai_clients_c/jours_mois</f>
        <v>60520.1288758803</v>
      </c>
      <c r="AA77" s="45" t="n">
        <f aca="false">AA19*delai_clients_c/jours_mois</f>
        <v>65016.1147698998</v>
      </c>
      <c r="AB77" s="45" t="n">
        <f aca="false">AB19*delai_clients_c/jours_mois</f>
        <v>66014.3564493745</v>
      </c>
      <c r="AC77" s="45" t="n">
        <f aca="false">AC19*delai_clients_c/jours_mois</f>
        <v>70375.2853719819</v>
      </c>
      <c r="AD77" s="45" t="n">
        <f aca="false">AD19*delai_clients_c/jours_mois</f>
        <v>78212.2555796844</v>
      </c>
      <c r="AE77" s="45" t="n">
        <f aca="false">AE19*delai_clients_c/jours_mois</f>
        <v>84162.0575379203</v>
      </c>
      <c r="AF77" s="45" t="n">
        <f aca="false">AF19*delai_clients_c/jours_mois</f>
        <v>91002.9602891999</v>
      </c>
      <c r="AG77" s="45" t="n">
        <f aca="false">AG19*delai_clients_c/jours_mois</f>
        <v>98025.6335930434</v>
      </c>
      <c r="AH77" s="45" t="n">
        <f aca="false">AH19*delai_clients_c/jours_mois</f>
        <v>100044.330367741</v>
      </c>
      <c r="AI77" s="45" t="n">
        <f aca="false">AI19*delai_clients_c/jours_mois</f>
        <v>81933.3449033291</v>
      </c>
      <c r="AJ77" s="45" t="n">
        <f aca="false">AJ19*delai_clients_c/jours_mois</f>
        <v>108870.009521688</v>
      </c>
      <c r="AK77" s="45" t="n">
        <f aca="false">AK19*delai_clients_c/jours_mois</f>
        <v>111248.983658235</v>
      </c>
      <c r="AL77" s="45" t="n">
        <f aca="false">AL19*delai_clients_c/jours_mois</f>
        <v>112413.842125232</v>
      </c>
      <c r="AM77" s="45" t="n">
        <f aca="false">AM19*delai_clients_c/jours_mois</f>
        <v>118562.990473619</v>
      </c>
      <c r="AO77" s="45" t="n">
        <f aca="false">INDEX($D77:$AM77,(AO$4-annee_debut)*12+12)</f>
        <v>21936.8716823411</v>
      </c>
      <c r="AP77" s="45" t="n">
        <f aca="false">INDEX($D77:$AM77,(AP$4-annee_debut)*12+12)</f>
        <v>65016.1147698998</v>
      </c>
      <c r="AQ77" s="45" t="n">
        <f aca="false">INDEX($D77:$AM77,(AQ$4-annee_debut)*12+12)</f>
        <v>118562.990473619</v>
      </c>
    </row>
    <row r="78" customFormat="false" ht="15" hidden="false" customHeight="false" outlineLevel="0" collapsed="false">
      <c r="A78" s="10" t="s">
        <v>430</v>
      </c>
      <c r="B78" s="13" t="s">
        <v>161</v>
      </c>
      <c r="C78" s="50" t="n">
        <v>0</v>
      </c>
      <c r="D78" s="45" t="n">
        <f aca="false">(D24+D47)*delai_fournisseurs/jours_mois</f>
        <v>9347.54</v>
      </c>
      <c r="E78" s="45" t="n">
        <f aca="false">(E24+E47)*delai_fournisseurs/jours_mois</f>
        <v>9939.04952</v>
      </c>
      <c r="F78" s="45" t="n">
        <f aca="false">(F24+F47)*delai_fournisseurs/jours_mois</f>
        <v>10601.0115008</v>
      </c>
      <c r="G78" s="45" t="n">
        <f aca="false">(G24+G47)*delai_fournisseurs/jours_mois</f>
        <v>11251.9753500462</v>
      </c>
      <c r="H78" s="45" t="n">
        <f aca="false">(H24+H47)*delai_fournisseurs/jours_mois</f>
        <v>11947.2584589588</v>
      </c>
      <c r="I78" s="45" t="n">
        <f aca="false">(I24+I47)*delai_fournisseurs/jours_mois</f>
        <v>12670.788824807</v>
      </c>
      <c r="J78" s="45" t="n">
        <f aca="false">(J24+J47)*delai_fournisseurs/jours_mois</f>
        <v>13185.6888211618</v>
      </c>
      <c r="K78" s="45" t="n">
        <f aca="false">(K24+K47)*delai_fournisseurs/jours_mois</f>
        <v>12664.3089945203</v>
      </c>
      <c r="L78" s="45" t="n">
        <f aca="false">(L24+L47)*delai_fournisseurs/jours_mois</f>
        <v>14394.5751886442</v>
      </c>
      <c r="M78" s="45" t="n">
        <f aca="false">(M24+M47)*delai_fournisseurs/jours_mois</f>
        <v>14875.0524714018</v>
      </c>
      <c r="N78" s="45" t="n">
        <f aca="false">(N24+N47)*delai_fournisseurs/jours_mois</f>
        <v>15263.9260599466</v>
      </c>
      <c r="O78" s="45" t="n">
        <f aca="false">(O24+O47)*delai_fournisseurs/jours_mois</f>
        <v>15951.0741261718</v>
      </c>
      <c r="P78" s="45" t="n">
        <f aca="false">(P24+P47)*delai_fournisseurs/jours_mois</f>
        <v>17128.8205748248</v>
      </c>
      <c r="Q78" s="45" t="n">
        <f aca="false">(Q24+Q47)*delai_fournisseurs/jours_mois</f>
        <v>19019.1299279269</v>
      </c>
      <c r="R78" s="45" t="n">
        <f aca="false">(R24+R47)*delai_fournisseurs/jours_mois</f>
        <v>20637.511125044</v>
      </c>
      <c r="S78" s="45" t="n">
        <f aca="false">(S24+S47)*delai_fournisseurs/jours_mois</f>
        <v>22019.5447713743</v>
      </c>
      <c r="T78" s="45" t="n">
        <f aca="false">(T24+T47)*delai_fournisseurs/jours_mois</f>
        <v>23557.7010998272</v>
      </c>
      <c r="U78" s="45" t="n">
        <f aca="false">(U24+U47)*delai_fournisseurs/jours_mois</f>
        <v>25149.5960433901</v>
      </c>
      <c r="V78" s="45" t="n">
        <f aca="false">(V24+V47)*delai_fournisseurs/jours_mois</f>
        <v>25913.7363327897</v>
      </c>
      <c r="W78" s="45" t="n">
        <f aca="false">(W24+W47)*delai_fournisseurs/jours_mois</f>
        <v>23126.64174994</v>
      </c>
      <c r="X78" s="45" t="n">
        <f aca="false">(X24+X47)*delai_fournisseurs/jours_mois</f>
        <v>28978.5659892347</v>
      </c>
      <c r="Y78" s="45" t="n">
        <f aca="false">(Y24+Y47)*delai_fournisseurs/jours_mois</f>
        <v>29749.027349795</v>
      </c>
      <c r="Z78" s="45" t="n">
        <f aca="false">(Z24+Z47)*delai_fournisseurs/jours_mois</f>
        <v>30273.4103899005</v>
      </c>
      <c r="AA78" s="45" t="n">
        <f aca="false">(AA24+AA47)*delai_fournisseurs/jours_mois</f>
        <v>32336.2822145261</v>
      </c>
      <c r="AB78" s="45" t="n">
        <f aca="false">(AB24+AB47)*delai_fournisseurs/jours_mois</f>
        <v>33262.2895201542</v>
      </c>
      <c r="AC78" s="45" t="n">
        <f aca="false">(AC24+AC47)*delai_fournisseurs/jours_mois</f>
        <v>34624.5475691123</v>
      </c>
      <c r="AD78" s="45" t="n">
        <f aca="false">(AD24+AD47)*delai_fournisseurs/jours_mois</f>
        <v>37978.6321278768</v>
      </c>
      <c r="AE78" s="45" t="n">
        <f aca="false">(AE24+AE47)*delai_fournisseurs/jours_mois</f>
        <v>39897.5239087092</v>
      </c>
      <c r="AF78" s="45" t="n">
        <f aca="false">(AF24+AF47)*delai_fournisseurs/jours_mois</f>
        <v>42128.3384371283</v>
      </c>
      <c r="AG78" s="45" t="n">
        <f aca="false">(AG24+AG47)*delai_fournisseurs/jours_mois</f>
        <v>44424.206953388</v>
      </c>
      <c r="AH78" s="45" t="n">
        <f aca="false">(AH24+AH47)*delai_fournisseurs/jours_mois</f>
        <v>44980.4678990266</v>
      </c>
      <c r="AI78" s="45" t="n">
        <f aca="false">(AI24+AI47)*delai_fournisseurs/jours_mois</f>
        <v>38533.3543718387</v>
      </c>
      <c r="AJ78" s="45" t="n">
        <f aca="false">(AJ24+AJ47)*delai_fournisseurs/jours_mois</f>
        <v>48544.8569604818</v>
      </c>
      <c r="AK78" s="45" t="n">
        <f aca="false">(AK24+AK47)*delai_fournisseurs/jours_mois</f>
        <v>49231.6963418369</v>
      </c>
      <c r="AL78" s="45" t="n">
        <f aca="false">(AL24+AL47)*delai_fournisseurs/jours_mois</f>
        <v>49497.7159936066</v>
      </c>
      <c r="AM78" s="45" t="n">
        <f aca="false">(AM24+AM47)*delai_fournisseurs/jours_mois</f>
        <v>51499.940737237</v>
      </c>
      <c r="AO78" s="45" t="n">
        <f aca="false">INDEX($D78:$AM78,(AO$4-annee_debut)*12+12)</f>
        <v>15951.0741261718</v>
      </c>
      <c r="AP78" s="45" t="n">
        <f aca="false">INDEX($D78:$AM78,(AP$4-annee_debut)*12+12)</f>
        <v>32336.2822145261</v>
      </c>
      <c r="AQ78" s="45" t="n">
        <f aca="false">INDEX($D78:$AM78,(AQ$4-annee_debut)*12+12)</f>
        <v>51499.940737237</v>
      </c>
    </row>
    <row r="79" customFormat="false" ht="15" hidden="false" customHeight="false" outlineLevel="0" collapsed="false">
      <c r="A79" s="10" t="s">
        <v>306</v>
      </c>
      <c r="B79" s="13" t="s">
        <v>161</v>
      </c>
      <c r="C79" s="50" t="n">
        <v>0</v>
      </c>
      <c r="D79" s="45" t="n">
        <f aca="false">(D77-C77)-(D78-C78)</f>
        <v>-8395.04</v>
      </c>
      <c r="E79" s="45" t="n">
        <f aca="false">(E77-D77)-(E78-D78)</f>
        <v>1302.06048</v>
      </c>
      <c r="F79" s="45" t="n">
        <f aca="false">(F77-E77)-(F78-E78)</f>
        <v>1431.7316592</v>
      </c>
      <c r="G79" s="45" t="n">
        <f aca="false">(G77-F77)-(G78-F78)</f>
        <v>1408.82791596979</v>
      </c>
      <c r="H79" s="45" t="n">
        <f aca="false">(H77-G77)-(H78-G78)</f>
        <v>1489.59237884873</v>
      </c>
      <c r="I79" s="45" t="n">
        <f aca="false">(I77-H77)-(I78-H78)</f>
        <v>1540.27217422841</v>
      </c>
      <c r="J79" s="45" t="n">
        <f aca="false">(J77-I77)-(J78-I78)</f>
        <v>1147.17368018564</v>
      </c>
      <c r="K79" s="45" t="n">
        <f aca="false">(K77-J77)-(K78-J78)</f>
        <v>-796.551791971284</v>
      </c>
      <c r="L79" s="45" t="n">
        <f aca="false">(L77-K77)-(L78-K78)</f>
        <v>3419.88593808243</v>
      </c>
      <c r="M79" s="45" t="n">
        <f aca="false">(M77-L77)-(M78-L78)</f>
        <v>1076.18992892888</v>
      </c>
      <c r="N79" s="45" t="n">
        <f aca="false">(N77-M77)-(N78-M78)</f>
        <v>902.45279240685</v>
      </c>
      <c r="O79" s="45" t="n">
        <f aca="false">(O77-N77)-(O78-N78)</f>
        <v>1459.20240028992</v>
      </c>
      <c r="P79" s="45" t="n">
        <f aca="false">(P77-O77)-(P78-O78)</f>
        <v>535.64434638915</v>
      </c>
      <c r="Q79" s="45" t="n">
        <f aca="false">(Q77-P77)-(Q78-P78)</f>
        <v>1712.0874971693</v>
      </c>
      <c r="R79" s="45" t="n">
        <f aca="false">(R77-Q77)-(R78-Q78)</f>
        <v>3396.46377673324</v>
      </c>
      <c r="S79" s="45" t="n">
        <f aca="false">(S77-R77)-(S78-R78)</f>
        <v>2949.27980731272</v>
      </c>
      <c r="T79" s="45" t="n">
        <f aca="false">(T77-S77)-(T78-S78)</f>
        <v>3237.46609328235</v>
      </c>
      <c r="U79" s="45" t="n">
        <f aca="false">(U77-T77)-(U78-T78)</f>
        <v>3333.88119029391</v>
      </c>
      <c r="V79" s="45" t="n">
        <f aca="false">(V77-U77)-(V78-U78)</f>
        <v>1778.81413188385</v>
      </c>
      <c r="W79" s="45" t="n">
        <f aca="false">(W77-V77)-(W78-V78)</f>
        <v>-4878.81469253298</v>
      </c>
      <c r="X79" s="45" t="n">
        <f aca="false">(X77-W77)-(X78-W78)</f>
        <v>9104.54155510485</v>
      </c>
      <c r="Y79" s="45" t="n">
        <f aca="false">(Y77-X77)-(Y78-X78)</f>
        <v>1778.30906309143</v>
      </c>
      <c r="Z79" s="45" t="n">
        <f aca="false">(Z77-Y77)-(Z78-Y78)</f>
        <v>1313.24816108268</v>
      </c>
      <c r="AA79" s="45" t="n">
        <f aca="false">(AA77-Z77)-(AA78-Z78)</f>
        <v>2433.11406939379</v>
      </c>
      <c r="AB79" s="45" t="n">
        <f aca="false">(AB77-AA77)-(AB78-AA78)</f>
        <v>72.2343738465934</v>
      </c>
      <c r="AC79" s="45" t="n">
        <f aca="false">(AC77-AB77)-(AC78-AB78)</f>
        <v>2998.67087364935</v>
      </c>
      <c r="AD79" s="45" t="n">
        <f aca="false">(AD77-AC77)-(AD78-AC78)</f>
        <v>4482.88564893794</v>
      </c>
      <c r="AE79" s="45" t="n">
        <f aca="false">(AE77-AD77)-(AE78-AD78)</f>
        <v>4030.91017740357</v>
      </c>
      <c r="AF79" s="45" t="n">
        <f aca="false">(AF77-AE77)-(AF78-AE78)</f>
        <v>4610.08822286046</v>
      </c>
      <c r="AG79" s="45" t="n">
        <f aca="false">(AG77-AF77)-(AG78-AF78)</f>
        <v>4726.8047875838</v>
      </c>
      <c r="AH79" s="45" t="n">
        <f aca="false">(AH77-AG77)-(AH78-AG78)</f>
        <v>1462.4358290588</v>
      </c>
      <c r="AI79" s="45" t="n">
        <f aca="false">(AI77-AH77)-(AI78-AH78)</f>
        <v>-11663.8719372238</v>
      </c>
      <c r="AJ79" s="45" t="n">
        <f aca="false">(AJ77-AI77)-(AJ78-AI78)</f>
        <v>16925.1620297158</v>
      </c>
      <c r="AK79" s="45" t="n">
        <f aca="false">(AK77-AJ77)-(AK78-AJ78)</f>
        <v>1692.13475519169</v>
      </c>
      <c r="AL79" s="45" t="n">
        <f aca="false">(AL77-AK77)-(AL78-AK78)</f>
        <v>898.838815227413</v>
      </c>
      <c r="AM79" s="45" t="n">
        <f aca="false">(AM77-AL77)-(AM78-AL78)</f>
        <v>4146.92360475664</v>
      </c>
      <c r="AO79" s="45" t="n">
        <f aca="false">SUMIF($D$4:$AM$4,AO$4,$D79:$AM79)</f>
        <v>5985.79755616937</v>
      </c>
      <c r="AP79" s="45" t="n">
        <f aca="false">SUMIF($D$4:$AM$4,AP$4,$D79:$AM79)</f>
        <v>26694.0349992043</v>
      </c>
      <c r="AQ79" s="45" t="n">
        <f aca="false">SUMIF($D$4:$AM$4,AQ$4,$D79:$AM79)</f>
        <v>34383.2171810082</v>
      </c>
    </row>
    <row r="80" customFormat="false" ht="15" hidden="false" customHeight="false" outlineLevel="0" collapsed="false">
      <c r="A80" s="10" t="s">
        <v>288</v>
      </c>
      <c r="B80" s="13" t="s">
        <v>161</v>
      </c>
      <c r="C80" s="50" t="n">
        <v>0</v>
      </c>
      <c r="D80" s="45" t="n">
        <f aca="false">D19-(D77-C77)</f>
        <v>0</v>
      </c>
      <c r="E80" s="45" t="n">
        <f aca="false">E19-(E77-D77)</f>
        <v>952.5</v>
      </c>
      <c r="F80" s="45" t="n">
        <f aca="false">F19-(F77-E77)</f>
        <v>2846.07</v>
      </c>
      <c r="G80" s="45" t="n">
        <f aca="false">G19-(G77-F77)</f>
        <v>4939.76364</v>
      </c>
      <c r="H80" s="45" t="n">
        <f aca="false">H19-(H77-G77)</f>
        <v>6999.555405216</v>
      </c>
      <c r="I80" s="45" t="n">
        <f aca="false">I19-(I77-H77)</f>
        <v>9184.43089297728</v>
      </c>
      <c r="J80" s="45" t="n">
        <f aca="false">J19-(J77-I77)</f>
        <v>11448.2334330539</v>
      </c>
      <c r="K80" s="45" t="n">
        <f aca="false">K19-(K77-J77)</f>
        <v>13110.3071095944</v>
      </c>
      <c r="L80" s="45" t="n">
        <f aca="false">L19-(L77-K77)</f>
        <v>11792.3754909816</v>
      </c>
      <c r="M80" s="45" t="n">
        <f aca="false">M19-(M77-L77)</f>
        <v>16942.5276231879</v>
      </c>
      <c r="N80" s="45" t="n">
        <f aca="false">N19-(N77-M77)</f>
        <v>18499.1948348744</v>
      </c>
      <c r="O80" s="45" t="n">
        <f aca="false">O19-(O77-N77)</f>
        <v>19790.521215826</v>
      </c>
      <c r="P80" s="45" t="n">
        <f aca="false">P19-(P77-O77)</f>
        <v>21936.8716823411</v>
      </c>
      <c r="Q80" s="45" t="n">
        <f aca="false">Q19-(Q77-P77)</f>
        <v>23650.2624773833</v>
      </c>
      <c r="R80" s="45" t="n">
        <f aca="false">R19-(R77-Q77)</f>
        <v>27252.6593276547</v>
      </c>
      <c r="S80" s="45" t="n">
        <f aca="false">S19-(S77-R77)</f>
        <v>32267.5043015051</v>
      </c>
      <c r="T80" s="45" t="n">
        <f aca="false">T19-(T77-S77)</f>
        <v>36598.8177551481</v>
      </c>
      <c r="U80" s="45" t="n">
        <f aca="false">U19-(U77-T77)</f>
        <v>41374.4401768833</v>
      </c>
      <c r="V80" s="45" t="n">
        <f aca="false">V19-(V77-U77)</f>
        <v>46300.2163107401</v>
      </c>
      <c r="W80" s="45" t="n">
        <f aca="false">W19-(W77-V77)</f>
        <v>48843.1707320236</v>
      </c>
      <c r="X80" s="45" t="n">
        <f aca="false">X19-(X77-W77)</f>
        <v>41177.2614566409</v>
      </c>
      <c r="Y80" s="45" t="n">
        <f aca="false">Y19-(Y77-X77)</f>
        <v>56133.7272510404</v>
      </c>
      <c r="Z80" s="45" t="n">
        <f aca="false">Z19-(Z77-Y77)</f>
        <v>58682.4976746922</v>
      </c>
      <c r="AA80" s="45" t="n">
        <f aca="false">AA19-(AA77-Z77)</f>
        <v>60520.1288758803</v>
      </c>
      <c r="AB80" s="45" t="n">
        <f aca="false">AB19-(AB77-AA77)</f>
        <v>65016.1147698998</v>
      </c>
      <c r="AC80" s="45" t="n">
        <f aca="false">AC19-(AC77-AB77)</f>
        <v>66014.3564493745</v>
      </c>
      <c r="AD80" s="45" t="n">
        <f aca="false">AD19-(AD77-AC77)</f>
        <v>70375.2853719819</v>
      </c>
      <c r="AE80" s="45" t="n">
        <f aca="false">AE19-(AE77-AD77)</f>
        <v>78212.2555796844</v>
      </c>
      <c r="AF80" s="45" t="n">
        <f aca="false">AF19-(AF77-AE77)</f>
        <v>84162.0575379203</v>
      </c>
      <c r="AG80" s="45" t="n">
        <f aca="false">AG19-(AG77-AF77)</f>
        <v>91002.9602891999</v>
      </c>
      <c r="AH80" s="45" t="n">
        <f aca="false">AH19-(AH77-AG77)</f>
        <v>98025.6335930434</v>
      </c>
      <c r="AI80" s="45" t="n">
        <f aca="false">AI19-(AI77-AH77)</f>
        <v>100044.330367741</v>
      </c>
      <c r="AJ80" s="45" t="n">
        <f aca="false">AJ19-(AJ77-AI77)</f>
        <v>81933.3449033291</v>
      </c>
      <c r="AK80" s="45" t="n">
        <f aca="false">AK19-(AK77-AJ77)</f>
        <v>108870.009521688</v>
      </c>
      <c r="AL80" s="45" t="n">
        <f aca="false">AL19-(AL77-AK77)</f>
        <v>111248.983658235</v>
      </c>
      <c r="AM80" s="45" t="n">
        <f aca="false">AM19-(AM77-AL77)</f>
        <v>112413.842125232</v>
      </c>
      <c r="AO80" s="45" t="n">
        <f aca="false">SUMIF($D$4:$AM$4,AO$4,$D80:$AM80)</f>
        <v>116505.479645712</v>
      </c>
      <c r="AP80" s="45" t="n">
        <f aca="false">SUMIF($D$4:$AM$4,AP$4,$D80:$AM80)</f>
        <v>494737.558021933</v>
      </c>
      <c r="AQ80" s="45" t="n">
        <f aca="false">SUMIF($D$4:$AM$4,AQ$4,$D80:$AM80)</f>
        <v>1067319.17416733</v>
      </c>
    </row>
    <row r="81" customFormat="false" ht="15" hidden="false" customHeight="false" outlineLevel="0" collapsed="false">
      <c r="A81" s="10" t="s">
        <v>431</v>
      </c>
      <c r="B81" s="13" t="s">
        <v>161</v>
      </c>
      <c r="C81" s="50" t="n">
        <v>0</v>
      </c>
      <c r="D81" s="45" t="n">
        <f aca="false">D24+D47-(D78-C78)</f>
        <v>0</v>
      </c>
      <c r="E81" s="45" t="n">
        <f aca="false">E24+E47-(E78-D78)</f>
        <v>9347.54</v>
      </c>
      <c r="F81" s="45" t="n">
        <f aca="false">F24+F47-(F78-E78)</f>
        <v>9939.04952</v>
      </c>
      <c r="G81" s="45" t="n">
        <f aca="false">G24+G47-(G78-F78)</f>
        <v>10601.0115008</v>
      </c>
      <c r="H81" s="45" t="n">
        <f aca="false">H24+H47-(H78-G78)</f>
        <v>11251.9753500462</v>
      </c>
      <c r="I81" s="45" t="n">
        <f aca="false">I24+I47-(I78-H78)</f>
        <v>11947.2584589588</v>
      </c>
      <c r="J81" s="45" t="n">
        <f aca="false">J24+J47-(J78-I78)</f>
        <v>12670.788824807</v>
      </c>
      <c r="K81" s="45" t="n">
        <f aca="false">K24+K47-(K78-J78)</f>
        <v>13185.6888211618</v>
      </c>
      <c r="L81" s="45" t="n">
        <f aca="false">L24+L47-(L78-K78)</f>
        <v>12664.3089945203</v>
      </c>
      <c r="M81" s="45" t="n">
        <f aca="false">M24+M47-(M78-L78)</f>
        <v>14394.5751886442</v>
      </c>
      <c r="N81" s="45" t="n">
        <f aca="false">N24+N47-(N78-M78)</f>
        <v>14875.0524714018</v>
      </c>
      <c r="O81" s="45" t="n">
        <f aca="false">O24+O47-(O78-N78)</f>
        <v>15263.9260599466</v>
      </c>
      <c r="P81" s="45" t="n">
        <f aca="false">P24+P47-(P78-O78)</f>
        <v>15951.0741261718</v>
      </c>
      <c r="Q81" s="45" t="n">
        <f aca="false">Q24+Q47-(Q78-P78)</f>
        <v>17128.8205748248</v>
      </c>
      <c r="R81" s="45" t="n">
        <f aca="false">R24+R47-(R78-Q78)</f>
        <v>19019.1299279269</v>
      </c>
      <c r="S81" s="45" t="n">
        <f aca="false">S24+S47-(S78-R78)</f>
        <v>20637.511125044</v>
      </c>
      <c r="T81" s="45" t="n">
        <f aca="false">T24+T47-(T78-S78)</f>
        <v>22019.5447713743</v>
      </c>
      <c r="U81" s="45" t="n">
        <f aca="false">U24+U47-(U78-T78)</f>
        <v>23557.7010998272</v>
      </c>
      <c r="V81" s="45" t="n">
        <f aca="false">V24+V47-(V78-U78)</f>
        <v>25149.5960433901</v>
      </c>
      <c r="W81" s="45" t="n">
        <f aca="false">W24+W47-(W78-V78)</f>
        <v>25913.7363327897</v>
      </c>
      <c r="X81" s="45" t="n">
        <f aca="false">X24+X47-(X78-W78)</f>
        <v>23126.64174994</v>
      </c>
      <c r="Y81" s="45" t="n">
        <f aca="false">Y24+Y47-(Y78-X78)</f>
        <v>28978.5659892347</v>
      </c>
      <c r="Z81" s="45" t="n">
        <f aca="false">Z24+Z47-(Z78-Y78)</f>
        <v>29749.027349795</v>
      </c>
      <c r="AA81" s="45" t="n">
        <f aca="false">AA24+AA47-(AA78-Z78)</f>
        <v>30273.4103899005</v>
      </c>
      <c r="AB81" s="45" t="n">
        <f aca="false">AB24+AB47-(AB78-AA78)</f>
        <v>32336.2822145261</v>
      </c>
      <c r="AC81" s="45" t="n">
        <f aca="false">AC24+AC47-(AC78-AB78)</f>
        <v>33262.2895201542</v>
      </c>
      <c r="AD81" s="45" t="n">
        <f aca="false">AD24+AD47-(AD78-AC78)</f>
        <v>34624.5475691123</v>
      </c>
      <c r="AE81" s="45" t="n">
        <f aca="false">AE24+AE47-(AE78-AD78)</f>
        <v>37978.6321278768</v>
      </c>
      <c r="AF81" s="45" t="n">
        <f aca="false">AF24+AF47-(AF78-AE78)</f>
        <v>39897.5239087092</v>
      </c>
      <c r="AG81" s="45" t="n">
        <f aca="false">AG24+AG47-(AG78-AF78)</f>
        <v>42128.3384371283</v>
      </c>
      <c r="AH81" s="45" t="n">
        <f aca="false">AH24+AH47-(AH78-AG78)</f>
        <v>44424.206953388</v>
      </c>
      <c r="AI81" s="45" t="n">
        <f aca="false">AI24+AI47-(AI78-AH78)</f>
        <v>44980.4678990266</v>
      </c>
      <c r="AJ81" s="45" t="n">
        <f aca="false">AJ24+AJ47-(AJ78-AI78)</f>
        <v>38533.3543718387</v>
      </c>
      <c r="AK81" s="45" t="n">
        <f aca="false">AK24+AK47-(AK78-AJ78)</f>
        <v>48544.8569604818</v>
      </c>
      <c r="AL81" s="45" t="n">
        <f aca="false">AL24+AL47-(AL78-AK78)</f>
        <v>49231.6963418369</v>
      </c>
      <c r="AM81" s="45" t="n">
        <f aca="false">AM24+AM47-(AM78-AL78)</f>
        <v>49497.7159936066</v>
      </c>
      <c r="AO81" s="45" t="n">
        <f aca="false">SUMIF($D$4:$AM$4,AO$4,$D81:$AM81)</f>
        <v>136141.175190287</v>
      </c>
      <c r="AP81" s="45" t="n">
        <f aca="false">SUMIF($D$4:$AM$4,AP$4,$D81:$AM81)</f>
        <v>281504.759480219</v>
      </c>
      <c r="AQ81" s="45" t="n">
        <f aca="false">SUMIF($D$4:$AM$4,AQ$4,$D81:$AM81)</f>
        <v>495439.912297686</v>
      </c>
    </row>
    <row r="82" customFormat="false" ht="15" hidden="false" customHeight="false" outlineLevel="0" collapsed="false">
      <c r="A82" s="11" t="s">
        <v>432</v>
      </c>
      <c r="B82" s="13" t="s">
        <v>161</v>
      </c>
      <c r="C82" s="50" t="n">
        <v>0</v>
      </c>
      <c r="D82" s="44" t="n">
        <f aca="false">D48-D79-D73</f>
        <v>-10833.3333333333</v>
      </c>
      <c r="E82" s="44" t="n">
        <f aca="false">E48-E79-E73</f>
        <v>-19228.3733333333</v>
      </c>
      <c r="F82" s="44" t="n">
        <f aca="false">F48-F79-F73</f>
        <v>-17926.3128533333</v>
      </c>
      <c r="G82" s="44" t="n">
        <f aca="false">G48-G79-G73</f>
        <v>-21327.9145274667</v>
      </c>
      <c r="H82" s="44" t="n">
        <f aca="false">H48-H79-H73</f>
        <v>-19919.0866114969</v>
      </c>
      <c r="I82" s="44" t="n">
        <f aca="false">I48-I79-I73</f>
        <v>-18429.4942326481</v>
      </c>
      <c r="J82" s="44" t="n">
        <f aca="false">J48-J79-J73</f>
        <v>-16889.2220584197</v>
      </c>
      <c r="K82" s="44" t="n">
        <f aca="false">K48-K79-K73</f>
        <v>-15742.0483782341</v>
      </c>
      <c r="L82" s="44" t="n">
        <f aca="false">L48-L79-L73</f>
        <v>-16538.6001702054</v>
      </c>
      <c r="M82" s="44" t="n">
        <f aca="false">M48-M79-M73</f>
        <v>-13118.7142321229</v>
      </c>
      <c r="N82" s="44" t="n">
        <f aca="false">N48-N79-N73</f>
        <v>-12042.5243031941</v>
      </c>
      <c r="O82" s="44" t="n">
        <f aca="false">O48-O79-O73</f>
        <v>-11140.0715107872</v>
      </c>
      <c r="P82" s="44" t="n">
        <f aca="false">P48-P79-P73</f>
        <v>-16314.2024438306</v>
      </c>
      <c r="Q82" s="44" t="n">
        <f aca="false">Q48-Q79-Q73</f>
        <v>-18838.5580974415</v>
      </c>
      <c r="R82" s="44" t="n">
        <f aca="false">R48-R79-R73</f>
        <v>-17126.4706002722</v>
      </c>
      <c r="S82" s="44" t="n">
        <f aca="false">S48-S79-S73</f>
        <v>-16620.0068235389</v>
      </c>
      <c r="T82" s="44" t="n">
        <f aca="false">T48-T79-T73</f>
        <v>-13670.7270162262</v>
      </c>
      <c r="U82" s="44" t="n">
        <f aca="false">U48-U79-U73</f>
        <v>-10433.2609229439</v>
      </c>
      <c r="V82" s="44" t="n">
        <f aca="false">V48-V79-V73</f>
        <v>-7099.37973264997</v>
      </c>
      <c r="W82" s="44" t="n">
        <f aca="false">W48-W79-W73</f>
        <v>-5320.56560076612</v>
      </c>
      <c r="X82" s="44" t="n">
        <f aca="false">X48-X79-X73</f>
        <v>-13259.3802932991</v>
      </c>
      <c r="Y82" s="44" t="n">
        <f aca="false">Y48-Y79-Y73</f>
        <v>-4154.83873819425</v>
      </c>
      <c r="Z82" s="44" t="n">
        <f aca="false">Z48-Z79-Z73</f>
        <v>-2376.52967510281</v>
      </c>
      <c r="AA82" s="44" t="n">
        <f aca="false">AA48-AA79-AA73</f>
        <v>-1063.28151402013</v>
      </c>
      <c r="AB82" s="44" t="n">
        <f aca="false">AB48-AB79-AB73</f>
        <v>-6144.96744462635</v>
      </c>
      <c r="AC82" s="44" t="n">
        <f aca="false">AC48-AC79-AC73</f>
        <v>-9020.53307077975</v>
      </c>
      <c r="AD82" s="44" t="n">
        <f aca="false">AD48-AD79-AD73</f>
        <v>-9143.0621971304</v>
      </c>
      <c r="AE82" s="44" t="n">
        <f aca="false">AE48-AE79-AE73</f>
        <v>-4660.17654819246</v>
      </c>
      <c r="AF82" s="44" t="n">
        <f aca="false">AF48-AF79-AF73</f>
        <v>-629.266370788897</v>
      </c>
      <c r="AG82" s="44" t="n">
        <f aca="false">AG48-AG79-AG73</f>
        <v>3980.82185207156</v>
      </c>
      <c r="AH82" s="44" t="n">
        <f aca="false">AH48-AH79-AH73</f>
        <v>8707.62663965536</v>
      </c>
      <c r="AI82" s="44" t="n">
        <f aca="false">AI48-AI79-AI73</f>
        <v>10170.0624687142</v>
      </c>
      <c r="AJ82" s="44" t="n">
        <f aca="false">AJ48-AJ79-AJ73</f>
        <v>-7562.80946850965</v>
      </c>
      <c r="AK82" s="44" t="n">
        <f aca="false">AK48-AK79-AK73</f>
        <v>9362.3525612061</v>
      </c>
      <c r="AL82" s="44" t="n">
        <f aca="false">AL48-AL79-AL73</f>
        <v>11054.4873163978</v>
      </c>
      <c r="AM82" s="44" t="n">
        <f aca="false">AM48-AM79-AM73</f>
        <v>11953.3261316252</v>
      </c>
      <c r="AO82" s="44" t="n">
        <f aca="false">SUMIF($D$4:$AM$4,AO$4,$D82:$AM82)</f>
        <v>-193135.695544575</v>
      </c>
      <c r="AP82" s="44" t="n">
        <f aca="false">SUMIF($D$4:$AM$4,AP$4,$D82:$AM82)</f>
        <v>-126277.201458286</v>
      </c>
      <c r="AQ82" s="44" t="n">
        <f aca="false">SUMIF($D$4:$AM$4,AQ$4,$D82:$AM82)</f>
        <v>18067.8618696427</v>
      </c>
    </row>
    <row r="83" customFormat="false" ht="15" hidden="false" customHeight="false" outlineLevel="0" collapsed="false">
      <c r="A83" s="11" t="s">
        <v>294</v>
      </c>
      <c r="B83" s="13" t="s">
        <v>161</v>
      </c>
      <c r="C83" s="50" t="n">
        <v>0</v>
      </c>
      <c r="D83" s="44" t="n">
        <f aca="false">-D56</f>
        <v>-237600</v>
      </c>
      <c r="E83" s="44" t="n">
        <f aca="false">-E56</f>
        <v>-0</v>
      </c>
      <c r="F83" s="44" t="n">
        <f aca="false">-F56</f>
        <v>-0</v>
      </c>
      <c r="G83" s="44" t="n">
        <f aca="false">-G56</f>
        <v>-0</v>
      </c>
      <c r="H83" s="44" t="n">
        <f aca="false">-H56</f>
        <v>-0</v>
      </c>
      <c r="I83" s="44" t="n">
        <f aca="false">-I56</f>
        <v>-0</v>
      </c>
      <c r="J83" s="44" t="n">
        <f aca="false">-J56</f>
        <v>-0</v>
      </c>
      <c r="K83" s="44" t="n">
        <f aca="false">-K56</f>
        <v>-0</v>
      </c>
      <c r="L83" s="44" t="n">
        <f aca="false">-L56</f>
        <v>-1321.02480577488</v>
      </c>
      <c r="M83" s="44" t="n">
        <f aca="false">-M56</f>
        <v>-1701.00003550964</v>
      </c>
      <c r="N83" s="44" t="n">
        <f aca="false">-N56</f>
        <v>-1376.70189967578</v>
      </c>
      <c r="O83" s="44" t="n">
        <f aca="false">-O56</f>
        <v>-2432.66211950985</v>
      </c>
      <c r="P83" s="44" t="n">
        <f aca="false">-P56</f>
        <v>-1234.56654675772</v>
      </c>
      <c r="Q83" s="44" t="n">
        <f aca="false">-Q56</f>
        <v>-3983.85380178675</v>
      </c>
      <c r="R83" s="44" t="n">
        <f aca="false">-R56</f>
        <v>-5729.44147944896</v>
      </c>
      <c r="S83" s="44" t="n">
        <f aca="false">-S56</f>
        <v>-4892.71681689363</v>
      </c>
      <c r="T83" s="44" t="n">
        <f aca="false">-T56</f>
        <v>-5445.42700187908</v>
      </c>
      <c r="U83" s="44" t="n">
        <f aca="false">-U56</f>
        <v>-5635.67405307329</v>
      </c>
      <c r="V83" s="44" t="n">
        <f aca="false">-V56</f>
        <v>-2705.23228890897</v>
      </c>
      <c r="W83" s="44" t="n">
        <f aca="false">-W56</f>
        <v>-0</v>
      </c>
      <c r="X83" s="44" t="n">
        <f aca="false">-X56</f>
        <v>-8141.92568028794</v>
      </c>
      <c r="Y83" s="44" t="n">
        <f aca="false">-Y56</f>
        <v>-2727.61033393778</v>
      </c>
      <c r="Z83" s="44" t="n">
        <f aca="false">-Z56</f>
        <v>-1856.43650979858</v>
      </c>
      <c r="AA83" s="44" t="n">
        <f aca="false">-AA56</f>
        <v>-155136.419792928</v>
      </c>
      <c r="AB83" s="44" t="n">
        <f aca="false">-AB56</f>
        <v>-0</v>
      </c>
      <c r="AC83" s="44" t="n">
        <f aca="false">-AC56</f>
        <v>-3969.8003536906</v>
      </c>
      <c r="AD83" s="44" t="n">
        <f aca="false">-AD56</f>
        <v>-9111.78901263754</v>
      </c>
      <c r="AE83" s="44" t="n">
        <f aca="false">-AE56</f>
        <v>-6793.31802869376</v>
      </c>
      <c r="AF83" s="44" t="n">
        <f aca="false">-AF56</f>
        <v>-7897.59626152989</v>
      </c>
      <c r="AG83" s="44" t="n">
        <f aca="false">-AG56</f>
        <v>-8127.90233342507</v>
      </c>
      <c r="AH83" s="44" t="n">
        <f aca="false">-AH56</f>
        <v>-1969.29162364004</v>
      </c>
      <c r="AI83" s="44" t="n">
        <f aca="false">-AI56</f>
        <v>-0</v>
      </c>
      <c r="AJ83" s="44" t="n">
        <f aca="false">-AJ56</f>
        <v>-9856.31529802539</v>
      </c>
      <c r="AK83" s="44" t="n">
        <f aca="false">-AK56</f>
        <v>-2431.56930410752</v>
      </c>
      <c r="AL83" s="44" t="n">
        <f aca="false">-AL56</f>
        <v>-941.770721207882</v>
      </c>
      <c r="AM83" s="44" t="n">
        <f aca="false">-AM56</f>
        <v>-7088.33587400181</v>
      </c>
      <c r="AO83" s="44" t="n">
        <f aca="false">SUMIF($D$4:$AM$4,AO$4,$D83:$AM83)</f>
        <v>-244431.38886047</v>
      </c>
      <c r="AP83" s="44" t="n">
        <f aca="false">SUMIF($D$4:$AM$4,AP$4,$D83:$AM83)</f>
        <v>-197489.3043057</v>
      </c>
      <c r="AQ83" s="44" t="n">
        <f aca="false">SUMIF($D$4:$AM$4,AQ$4,$D83:$AM83)</f>
        <v>-58187.6888109595</v>
      </c>
    </row>
    <row r="84" customFormat="false" ht="15" hidden="false" customHeight="false" outlineLevel="0" collapsed="false">
      <c r="A84" s="10" t="s">
        <v>295</v>
      </c>
      <c r="B84" s="13" t="s">
        <v>161</v>
      </c>
      <c r="C84" s="50" t="n">
        <v>0</v>
      </c>
      <c r="D84" s="45" t="n">
        <f aca="false">IF(D$6=mois_apport,apport+comptes_courants,0)+IF(D$6=mois_levee,levee,0)</f>
        <v>800000</v>
      </c>
      <c r="E84" s="45" t="n">
        <f aca="false">IF(E$6=mois_apport,apport+comptes_courants,0)+IF(E$6=mois_levee,levee,0)</f>
        <v>0</v>
      </c>
      <c r="F84" s="45" t="n">
        <f aca="false">IF(F$6=mois_apport,apport+comptes_courants,0)+IF(F$6=mois_levee,levee,0)</f>
        <v>0</v>
      </c>
      <c r="G84" s="45" t="n">
        <f aca="false">IF(G$6=mois_apport,apport+comptes_courants,0)+IF(G$6=mois_levee,levee,0)</f>
        <v>0</v>
      </c>
      <c r="H84" s="45" t="n">
        <f aca="false">IF(H$6=mois_apport,apport+comptes_courants,0)+IF(H$6=mois_levee,levee,0)</f>
        <v>0</v>
      </c>
      <c r="I84" s="45" t="n">
        <f aca="false">IF(I$6=mois_apport,apport+comptes_courants,0)+IF(I$6=mois_levee,levee,0)</f>
        <v>0</v>
      </c>
      <c r="J84" s="45" t="n">
        <f aca="false">IF(J$6=mois_apport,apport+comptes_courants,0)+IF(J$6=mois_levee,levee,0)</f>
        <v>0</v>
      </c>
      <c r="K84" s="45" t="n">
        <f aca="false">IF(K$6=mois_apport,apport+comptes_courants,0)+IF(K$6=mois_levee,levee,0)</f>
        <v>0</v>
      </c>
      <c r="L84" s="45" t="n">
        <f aca="false">IF(L$6=mois_apport,apport+comptes_courants,0)+IF(L$6=mois_levee,levee,0)</f>
        <v>0</v>
      </c>
      <c r="M84" s="45" t="n">
        <f aca="false">IF(M$6=mois_apport,apport+comptes_courants,0)+IF(M$6=mois_levee,levee,0)</f>
        <v>0</v>
      </c>
      <c r="N84" s="45" t="n">
        <f aca="false">IF(N$6=mois_apport,apport+comptes_courants,0)+IF(N$6=mois_levee,levee,0)</f>
        <v>0</v>
      </c>
      <c r="O84" s="45" t="n">
        <f aca="false">IF(O$6=mois_apport,apport+comptes_courants,0)+IF(O$6=mois_levee,levee,0)</f>
        <v>0</v>
      </c>
      <c r="P84" s="45" t="n">
        <f aca="false">IF(P$6=mois_apport,apport+comptes_courants,0)+IF(P$6=mois_levee,levee,0)</f>
        <v>0</v>
      </c>
      <c r="Q84" s="45" t="n">
        <f aca="false">IF(Q$6=mois_apport,apport+comptes_courants,0)+IF(Q$6=mois_levee,levee,0)</f>
        <v>0</v>
      </c>
      <c r="R84" s="45" t="n">
        <f aca="false">IF(R$6=mois_apport,apport+comptes_courants,0)+IF(R$6=mois_levee,levee,0)</f>
        <v>0</v>
      </c>
      <c r="S84" s="45" t="n">
        <f aca="false">IF(S$6=mois_apport,apport+comptes_courants,0)+IF(S$6=mois_levee,levee,0)</f>
        <v>0</v>
      </c>
      <c r="T84" s="45" t="n">
        <f aca="false">IF(T$6=mois_apport,apport+comptes_courants,0)+IF(T$6=mois_levee,levee,0)</f>
        <v>0</v>
      </c>
      <c r="U84" s="45" t="n">
        <f aca="false">IF(U$6=mois_apport,apport+comptes_courants,0)+IF(U$6=mois_levee,levee,0)</f>
        <v>0</v>
      </c>
      <c r="V84" s="45" t="n">
        <f aca="false">IF(V$6=mois_apport,apport+comptes_courants,0)+IF(V$6=mois_levee,levee,0)</f>
        <v>0</v>
      </c>
      <c r="W84" s="45" t="n">
        <f aca="false">IF(W$6=mois_apport,apport+comptes_courants,0)+IF(W$6=mois_levee,levee,0)</f>
        <v>0</v>
      </c>
      <c r="X84" s="45" t="n">
        <f aca="false">IF(X$6=mois_apport,apport+comptes_courants,0)+IF(X$6=mois_levee,levee,0)</f>
        <v>0</v>
      </c>
      <c r="Y84" s="45" t="n">
        <f aca="false">IF(Y$6=mois_apport,apport+comptes_courants,0)+IF(Y$6=mois_levee,levee,0)</f>
        <v>0</v>
      </c>
      <c r="Z84" s="45" t="n">
        <f aca="false">IF(Z$6=mois_apport,apport+comptes_courants,0)+IF(Z$6=mois_levee,levee,0)</f>
        <v>0</v>
      </c>
      <c r="AA84" s="45" t="n">
        <f aca="false">IF(AA$6=mois_apport,apport+comptes_courants,0)+IF(AA$6=mois_levee,levee,0)</f>
        <v>0</v>
      </c>
      <c r="AB84" s="45" t="n">
        <f aca="false">IF(AB$6=mois_apport,apport+comptes_courants,0)+IF(AB$6=mois_levee,levee,0)</f>
        <v>0</v>
      </c>
      <c r="AC84" s="45" t="n">
        <f aca="false">IF(AC$6=mois_apport,apport+comptes_courants,0)+IF(AC$6=mois_levee,levee,0)</f>
        <v>0</v>
      </c>
      <c r="AD84" s="45" t="n">
        <f aca="false">IF(AD$6=mois_apport,apport+comptes_courants,0)+IF(AD$6=mois_levee,levee,0)</f>
        <v>0</v>
      </c>
      <c r="AE84" s="45" t="n">
        <f aca="false">IF(AE$6=mois_apport,apport+comptes_courants,0)+IF(AE$6=mois_levee,levee,0)</f>
        <v>0</v>
      </c>
      <c r="AF84" s="45" t="n">
        <f aca="false">IF(AF$6=mois_apport,apport+comptes_courants,0)+IF(AF$6=mois_levee,levee,0)</f>
        <v>0</v>
      </c>
      <c r="AG84" s="45" t="n">
        <f aca="false">IF(AG$6=mois_apport,apport+comptes_courants,0)+IF(AG$6=mois_levee,levee,0)</f>
        <v>0</v>
      </c>
      <c r="AH84" s="45" t="n">
        <f aca="false">IF(AH$6=mois_apport,apport+comptes_courants,0)+IF(AH$6=mois_levee,levee,0)</f>
        <v>0</v>
      </c>
      <c r="AI84" s="45" t="n">
        <f aca="false">IF(AI$6=mois_apport,apport+comptes_courants,0)+IF(AI$6=mois_levee,levee,0)</f>
        <v>0</v>
      </c>
      <c r="AJ84" s="45" t="n">
        <f aca="false">IF(AJ$6=mois_apport,apport+comptes_courants,0)+IF(AJ$6=mois_levee,levee,0)</f>
        <v>0</v>
      </c>
      <c r="AK84" s="45" t="n">
        <f aca="false">IF(AK$6=mois_apport,apport+comptes_courants,0)+IF(AK$6=mois_levee,levee,0)</f>
        <v>0</v>
      </c>
      <c r="AL84" s="45" t="n">
        <f aca="false">IF(AL$6=mois_apport,apport+comptes_courants,0)+IF(AL$6=mois_levee,levee,0)</f>
        <v>0</v>
      </c>
      <c r="AM84" s="45" t="n">
        <f aca="false">IF(AM$6=mois_apport,apport+comptes_courants,0)+IF(AM$6=mois_levee,levee,0)</f>
        <v>0</v>
      </c>
      <c r="AO84" s="45" t="n">
        <f aca="false">SUMIF($D$4:$AM$4,AO$4,$D84:$AM84)</f>
        <v>800000</v>
      </c>
      <c r="AP84" s="45" t="n">
        <f aca="false">SUMIF($D$4:$AM$4,AP$4,$D84:$AM84)</f>
        <v>0</v>
      </c>
      <c r="AQ84" s="45" t="n">
        <f aca="false">SUMIF($D$4:$AM$4,AQ$4,$D84:$AM84)</f>
        <v>0</v>
      </c>
    </row>
    <row r="85" customFormat="false" ht="15" hidden="false" customHeight="false" outlineLevel="0" collapsed="false">
      <c r="A85" s="10" t="s">
        <v>433</v>
      </c>
      <c r="B85" s="13" t="s">
        <v>161</v>
      </c>
      <c r="C85" s="50" t="n">
        <v>0</v>
      </c>
      <c r="D85" s="45" t="n">
        <f aca="false">IF(AND(D$6=mois_tranche,D35=1),tranche,0)</f>
        <v>0</v>
      </c>
      <c r="E85" s="45" t="n">
        <f aca="false">IF(AND(E$6=mois_tranche,E35=1),tranche,0)</f>
        <v>0</v>
      </c>
      <c r="F85" s="45" t="n">
        <f aca="false">IF(AND(F$6=mois_tranche,F35=1),tranche,0)</f>
        <v>0</v>
      </c>
      <c r="G85" s="45" t="n">
        <f aca="false">IF(AND(G$6=mois_tranche,G35=1),tranche,0)</f>
        <v>0</v>
      </c>
      <c r="H85" s="45" t="n">
        <f aca="false">IF(AND(H$6=mois_tranche,H35=1),tranche,0)</f>
        <v>0</v>
      </c>
      <c r="I85" s="45" t="n">
        <f aca="false">IF(AND(I$6=mois_tranche,I35=1),tranche,0)</f>
        <v>0</v>
      </c>
      <c r="J85" s="45" t="n">
        <f aca="false">IF(AND(J$6=mois_tranche,J35=1),tranche,0)</f>
        <v>0</v>
      </c>
      <c r="K85" s="45" t="n">
        <f aca="false">IF(AND(K$6=mois_tranche,K35=1),tranche,0)</f>
        <v>0</v>
      </c>
      <c r="L85" s="45" t="n">
        <f aca="false">IF(AND(L$6=mois_tranche,L35=1),tranche,0)</f>
        <v>0</v>
      </c>
      <c r="M85" s="45" t="n">
        <f aca="false">IF(AND(M$6=mois_tranche,M35=1),tranche,0)</f>
        <v>0</v>
      </c>
      <c r="N85" s="45" t="n">
        <f aca="false">IF(AND(N$6=mois_tranche,N35=1),tranche,0)</f>
        <v>0</v>
      </c>
      <c r="O85" s="45" t="n">
        <f aca="false">IF(AND(O$6=mois_tranche,O35=1),tranche,0)</f>
        <v>0</v>
      </c>
      <c r="P85" s="45" t="n">
        <f aca="false">IF(AND(P$6=mois_tranche,P35=1),tranche,0)</f>
        <v>0</v>
      </c>
      <c r="Q85" s="45" t="n">
        <f aca="false">IF(AND(Q$6=mois_tranche,Q35=1),tranche,0)</f>
        <v>0</v>
      </c>
      <c r="R85" s="45" t="n">
        <f aca="false">IF(AND(R$6=mois_tranche,R35=1),tranche,0)</f>
        <v>0</v>
      </c>
      <c r="S85" s="45" t="n">
        <f aca="false">IF(AND(S$6=mois_tranche,S35=1),tranche,0)</f>
        <v>0</v>
      </c>
      <c r="T85" s="45" t="n">
        <f aca="false">IF(AND(T$6=mois_tranche,T35=1),tranche,0)</f>
        <v>0</v>
      </c>
      <c r="U85" s="45" t="n">
        <f aca="false">IF(AND(U$6=mois_tranche,U35=1),tranche,0)</f>
        <v>0</v>
      </c>
      <c r="V85" s="45" t="n">
        <f aca="false">IF(AND(V$6=mois_tranche,V35=1),tranche,0)</f>
        <v>0</v>
      </c>
      <c r="W85" s="45" t="n">
        <f aca="false">IF(AND(W$6=mois_tranche,W35=1),tranche,0)</f>
        <v>0</v>
      </c>
      <c r="X85" s="45" t="n">
        <f aca="false">IF(AND(X$6=mois_tranche,X35=1),tranche,0)</f>
        <v>0</v>
      </c>
      <c r="Y85" s="45" t="n">
        <f aca="false">IF(AND(Y$6=mois_tranche,Y35=1),tranche,0)</f>
        <v>0</v>
      </c>
      <c r="Z85" s="45" t="n">
        <f aca="false">IF(AND(Z$6=mois_tranche,Z35=1),tranche,0)</f>
        <v>0</v>
      </c>
      <c r="AA85" s="45" t="n">
        <f aca="false">IF(AND(AA$6=mois_tranche,AA35=1),tranche,0)</f>
        <v>0</v>
      </c>
      <c r="AB85" s="45" t="n">
        <f aca="false">IF(AND(AB$6=mois_tranche,AB35=1),tranche,0)</f>
        <v>0</v>
      </c>
      <c r="AC85" s="45" t="n">
        <f aca="false">IF(AND(AC$6=mois_tranche,AC35=1),tranche,0)</f>
        <v>0</v>
      </c>
      <c r="AD85" s="45" t="n">
        <f aca="false">IF(AND(AD$6=mois_tranche,AD35=1),tranche,0)</f>
        <v>0</v>
      </c>
      <c r="AE85" s="45" t="n">
        <f aca="false">IF(AND(AE$6=mois_tranche,AE35=1),tranche,0)</f>
        <v>0</v>
      </c>
      <c r="AF85" s="45" t="n">
        <f aca="false">IF(AND(AF$6=mois_tranche,AF35=1),tranche,0)</f>
        <v>0</v>
      </c>
      <c r="AG85" s="45" t="n">
        <f aca="false">IF(AND(AG$6=mois_tranche,AG35=1),tranche,0)</f>
        <v>0</v>
      </c>
      <c r="AH85" s="45" t="n">
        <f aca="false">IF(AND(AH$6=mois_tranche,AH35=1),tranche,0)</f>
        <v>0</v>
      </c>
      <c r="AI85" s="45" t="n">
        <f aca="false">IF(AND(AI$6=mois_tranche,AI35=1),tranche,0)</f>
        <v>0</v>
      </c>
      <c r="AJ85" s="45" t="n">
        <f aca="false">IF(AND(AJ$6=mois_tranche,AJ35=1),tranche,0)</f>
        <v>0</v>
      </c>
      <c r="AK85" s="45" t="n">
        <f aca="false">IF(AND(AK$6=mois_tranche,AK35=1),tranche,0)</f>
        <v>0</v>
      </c>
      <c r="AL85" s="45" t="n">
        <f aca="false">IF(AND(AL$6=mois_tranche,AL35=1),tranche,0)</f>
        <v>0</v>
      </c>
      <c r="AM85" s="45" t="n">
        <f aca="false">IF(AND(AM$6=mois_tranche,AM35=1),tranche,0)</f>
        <v>0</v>
      </c>
      <c r="AO85" s="45" t="n">
        <f aca="false">SUMIF($D$4:$AM$4,AO$4,$D85:$AM85)</f>
        <v>0</v>
      </c>
      <c r="AP85" s="45" t="n">
        <f aca="false">SUMIF($D$4:$AM$4,AP$4,$D85:$AM85)</f>
        <v>0</v>
      </c>
      <c r="AQ85" s="45" t="n">
        <f aca="false">SUMIF($D$4:$AM$4,AQ$4,$D85:$AM85)</f>
        <v>0</v>
      </c>
    </row>
    <row r="86" customFormat="false" ht="15" hidden="false" customHeight="false" outlineLevel="0" collapsed="false">
      <c r="A86" s="11" t="s">
        <v>300</v>
      </c>
      <c r="B86" s="13" t="s">
        <v>161</v>
      </c>
      <c r="C86" s="50" t="n">
        <v>0</v>
      </c>
      <c r="D86" s="44" t="n">
        <f aca="false">D84+D85+D69-D68-D67</f>
        <v>1020000</v>
      </c>
      <c r="E86" s="44" t="n">
        <f aca="false">E84+E85+E69-E68-E67</f>
        <v>-825</v>
      </c>
      <c r="F86" s="44" t="n">
        <f aca="false">F84+F85+F69-F68-F67</f>
        <v>-825</v>
      </c>
      <c r="G86" s="44" t="n">
        <f aca="false">G84+G85+G69-G68-G67</f>
        <v>-825</v>
      </c>
      <c r="H86" s="44" t="n">
        <f aca="false">H84+H85+H69-H68-H67</f>
        <v>-825</v>
      </c>
      <c r="I86" s="44" t="n">
        <f aca="false">I84+I85+I69-I68-I67</f>
        <v>-825</v>
      </c>
      <c r="J86" s="44" t="n">
        <f aca="false">J84+J85+J69-J68-J67</f>
        <v>-825</v>
      </c>
      <c r="K86" s="44" t="n">
        <f aca="false">K84+K85+K69-K68-K67</f>
        <v>-4508.09458189757</v>
      </c>
      <c r="L86" s="44" t="n">
        <f aca="false">L84+L85+L69-L68-L67</f>
        <v>-4508.09458189757</v>
      </c>
      <c r="M86" s="44" t="n">
        <f aca="false">M84+M85+M69-M68-M67</f>
        <v>-4508.09458189757</v>
      </c>
      <c r="N86" s="44" t="n">
        <f aca="false">N84+N85+N69-N68-N67</f>
        <v>-4508.09458189757</v>
      </c>
      <c r="O86" s="44" t="n">
        <f aca="false">O84+O85+O69-O68-O67</f>
        <v>-4508.09458189757</v>
      </c>
      <c r="P86" s="44" t="n">
        <f aca="false">P84+P85+P69-P68-P67</f>
        <v>-4508.09458189757</v>
      </c>
      <c r="Q86" s="44" t="n">
        <f aca="false">Q84+Q85+Q69-Q68-Q67</f>
        <v>-4508.09458189757</v>
      </c>
      <c r="R86" s="44" t="n">
        <f aca="false">R84+R85+R69-R68-R67</f>
        <v>-4508.09458189757</v>
      </c>
      <c r="S86" s="44" t="n">
        <f aca="false">S84+S85+S69-S68-S67</f>
        <v>-4508.09458189757</v>
      </c>
      <c r="T86" s="44" t="n">
        <f aca="false">T84+T85+T69-T68-T67</f>
        <v>-4508.09458189757</v>
      </c>
      <c r="U86" s="44" t="n">
        <f aca="false">U84+U85+U69-U68-U67</f>
        <v>-4508.09458189757</v>
      </c>
      <c r="V86" s="44" t="n">
        <f aca="false">V84+V85+V69-V68-V67</f>
        <v>-4508.09458189757</v>
      </c>
      <c r="W86" s="44" t="n">
        <f aca="false">W84+W85+W69-W68-W67</f>
        <v>-4508.09458189757</v>
      </c>
      <c r="X86" s="44" t="n">
        <f aca="false">X84+X85+X69-X68-X67</f>
        <v>-4508.09458189757</v>
      </c>
      <c r="Y86" s="44" t="n">
        <f aca="false">Y84+Y85+Y69-Y68-Y67</f>
        <v>-4508.09458189757</v>
      </c>
      <c r="Z86" s="44" t="n">
        <f aca="false">Z84+Z85+Z69-Z68-Z67</f>
        <v>-4508.09458189757</v>
      </c>
      <c r="AA86" s="44" t="n">
        <f aca="false">AA84+AA85+AA69-AA68-AA67</f>
        <v>-4508.09458189757</v>
      </c>
      <c r="AB86" s="44" t="n">
        <f aca="false">AB84+AB85+AB69-AB68-AB67</f>
        <v>-4508.09458189757</v>
      </c>
      <c r="AC86" s="44" t="n">
        <f aca="false">AC84+AC85+AC69-AC68-AC67</f>
        <v>-4508.09458189757</v>
      </c>
      <c r="AD86" s="44" t="n">
        <f aca="false">AD84+AD85+AD69-AD68-AD67</f>
        <v>-4508.09458189757</v>
      </c>
      <c r="AE86" s="44" t="n">
        <f aca="false">AE84+AE85+AE69-AE68-AE67</f>
        <v>-4508.09458189757</v>
      </c>
      <c r="AF86" s="44" t="n">
        <f aca="false">AF84+AF85+AF69-AF68-AF67</f>
        <v>-4508.09458189757</v>
      </c>
      <c r="AG86" s="44" t="n">
        <f aca="false">AG84+AG85+AG69-AG68-AG67</f>
        <v>-4508.09458189757</v>
      </c>
      <c r="AH86" s="44" t="n">
        <f aca="false">AH84+AH85+AH69-AH68-AH67</f>
        <v>-4508.09458189757</v>
      </c>
      <c r="AI86" s="44" t="n">
        <f aca="false">AI84+AI85+AI69-AI68-AI67</f>
        <v>-4508.09458189757</v>
      </c>
      <c r="AJ86" s="44" t="n">
        <f aca="false">AJ84+AJ85+AJ69-AJ68-AJ67</f>
        <v>-4508.09458189757</v>
      </c>
      <c r="AK86" s="44" t="n">
        <f aca="false">AK84+AK85+AK69-AK68-AK67</f>
        <v>-4508.09458189757</v>
      </c>
      <c r="AL86" s="44" t="n">
        <f aca="false">AL84+AL85+AL69-AL68-AL67</f>
        <v>-4508.09458189757</v>
      </c>
      <c r="AM86" s="44" t="n">
        <f aca="false">AM84+AM85+AM69-AM68-AM67</f>
        <v>-4508.09458189757</v>
      </c>
      <c r="AO86" s="44" t="n">
        <f aca="false">SUMIF($D$4:$AM$4,AO$4,$D86:$AM86)</f>
        <v>992509.527090512</v>
      </c>
      <c r="AP86" s="44" t="n">
        <f aca="false">SUMIF($D$4:$AM$4,AP$4,$D86:$AM86)</f>
        <v>-54097.1349827709</v>
      </c>
      <c r="AQ86" s="44" t="n">
        <f aca="false">SUMIF($D$4:$AM$4,AQ$4,$D86:$AM86)</f>
        <v>-54097.1349827709</v>
      </c>
    </row>
    <row r="87" customFormat="false" ht="15" hidden="false" customHeight="false" outlineLevel="0" collapsed="false">
      <c r="A87" s="11" t="s">
        <v>301</v>
      </c>
      <c r="B87" s="13" t="s">
        <v>161</v>
      </c>
      <c r="C87" s="50" t="n">
        <v>0</v>
      </c>
      <c r="D87" s="44" t="n">
        <f aca="false">D82+D83+D86</f>
        <v>771566.666666667</v>
      </c>
      <c r="E87" s="44" t="n">
        <f aca="false">E82+E83+E86</f>
        <v>-20053.3733333333</v>
      </c>
      <c r="F87" s="44" t="n">
        <f aca="false">F82+F83+F86</f>
        <v>-18751.3128533333</v>
      </c>
      <c r="G87" s="44" t="n">
        <f aca="false">G82+G83+G86</f>
        <v>-22152.9145274667</v>
      </c>
      <c r="H87" s="44" t="n">
        <f aca="false">H82+H83+H86</f>
        <v>-20744.0866114969</v>
      </c>
      <c r="I87" s="44" t="n">
        <f aca="false">I82+I83+I86</f>
        <v>-19254.4942326481</v>
      </c>
      <c r="J87" s="44" t="n">
        <f aca="false">J82+J83+J86</f>
        <v>-17714.2220584197</v>
      </c>
      <c r="K87" s="44" t="n">
        <f aca="false">K82+K83+K86</f>
        <v>-20250.1429601317</v>
      </c>
      <c r="L87" s="44" t="n">
        <f aca="false">L82+L83+L86</f>
        <v>-22367.7195578778</v>
      </c>
      <c r="M87" s="44" t="n">
        <f aca="false">M82+M83+M86</f>
        <v>-19327.8088495302</v>
      </c>
      <c r="N87" s="44" t="n">
        <f aca="false">N82+N83+N86</f>
        <v>-17927.3207847674</v>
      </c>
      <c r="O87" s="44" t="n">
        <f aca="false">O82+O83+O86</f>
        <v>-18080.8282121946</v>
      </c>
      <c r="P87" s="44" t="n">
        <f aca="false">P82+P83+P86</f>
        <v>-22056.8635724859</v>
      </c>
      <c r="Q87" s="44" t="n">
        <f aca="false">Q82+Q83+Q86</f>
        <v>-27330.5064811258</v>
      </c>
      <c r="R87" s="44" t="n">
        <f aca="false">R82+R83+R86</f>
        <v>-27364.0066616187</v>
      </c>
      <c r="S87" s="44" t="n">
        <f aca="false">S82+S83+S86</f>
        <v>-26020.8182223301</v>
      </c>
      <c r="T87" s="44" t="n">
        <f aca="false">T82+T83+T86</f>
        <v>-23624.2486000029</v>
      </c>
      <c r="U87" s="44" t="n">
        <f aca="false">U82+U83+U86</f>
        <v>-20577.0295579147</v>
      </c>
      <c r="V87" s="44" t="n">
        <f aca="false">V82+V83+V86</f>
        <v>-14312.7066034565</v>
      </c>
      <c r="W87" s="44" t="n">
        <f aca="false">W82+W83+W86</f>
        <v>-9828.66018266369</v>
      </c>
      <c r="X87" s="44" t="n">
        <f aca="false">X82+X83+X86</f>
        <v>-25909.4005554846</v>
      </c>
      <c r="Y87" s="44" t="n">
        <f aca="false">Y82+Y83+Y86</f>
        <v>-11390.5436540296</v>
      </c>
      <c r="Z87" s="44" t="n">
        <f aca="false">Z82+Z83+Z86</f>
        <v>-8741.06076679896</v>
      </c>
      <c r="AA87" s="44" t="n">
        <f aca="false">AA82+AA83+AA86</f>
        <v>-160707.795888845</v>
      </c>
      <c r="AB87" s="44" t="n">
        <f aca="false">AB82+AB83+AB86</f>
        <v>-10653.0620265239</v>
      </c>
      <c r="AC87" s="44" t="n">
        <f aca="false">AC82+AC83+AC86</f>
        <v>-17498.4280063679</v>
      </c>
      <c r="AD87" s="44" t="n">
        <f aca="false">AD82+AD83+AD86</f>
        <v>-22762.9457916655</v>
      </c>
      <c r="AE87" s="44" t="n">
        <f aca="false">AE82+AE83+AE86</f>
        <v>-15961.5891587838</v>
      </c>
      <c r="AF87" s="44" t="n">
        <f aca="false">AF82+AF83+AF86</f>
        <v>-13034.9572142164</v>
      </c>
      <c r="AG87" s="44" t="n">
        <f aca="false">AG82+AG83+AG86</f>
        <v>-8655.17506325107</v>
      </c>
      <c r="AH87" s="44" t="n">
        <f aca="false">AH82+AH83+AH86</f>
        <v>2230.24043411774</v>
      </c>
      <c r="AI87" s="44" t="n">
        <f aca="false">AI82+AI83+AI86</f>
        <v>5661.96788681659</v>
      </c>
      <c r="AJ87" s="44" t="n">
        <f aca="false">AJ82+AJ83+AJ86</f>
        <v>-21927.2193484326</v>
      </c>
      <c r="AK87" s="44" t="n">
        <f aca="false">AK82+AK83+AK86</f>
        <v>2422.68867520101</v>
      </c>
      <c r="AL87" s="44" t="n">
        <f aca="false">AL82+AL83+AL86</f>
        <v>5604.62201329234</v>
      </c>
      <c r="AM87" s="44" t="n">
        <f aca="false">AM82+AM83+AM86</f>
        <v>356.895675725828</v>
      </c>
      <c r="AO87" s="44" t="n">
        <f aca="false">SUMIF($D$4:$AM$4,AO$4,$D87:$AM87)</f>
        <v>554942.442685467</v>
      </c>
      <c r="AP87" s="44" t="n">
        <f aca="false">SUMIF($D$4:$AM$4,AP$4,$D87:$AM87)</f>
        <v>-377863.640746757</v>
      </c>
      <c r="AQ87" s="44" t="n">
        <f aca="false">SUMIF($D$4:$AM$4,AQ$4,$D87:$AM87)</f>
        <v>-94216.9619240877</v>
      </c>
    </row>
    <row r="88" customFormat="false" ht="15" hidden="false" customHeight="false" outlineLevel="0" collapsed="false">
      <c r="A88" s="11" t="s">
        <v>434</v>
      </c>
      <c r="B88" s="13" t="s">
        <v>161</v>
      </c>
      <c r="C88" s="50" t="n">
        <v>0</v>
      </c>
      <c r="D88" s="44" t="n">
        <f aca="false">C88+D87</f>
        <v>771566.666666667</v>
      </c>
      <c r="E88" s="44" t="n">
        <f aca="false">D88+E87</f>
        <v>751513.293333333</v>
      </c>
      <c r="F88" s="44" t="n">
        <f aca="false">E88+F87</f>
        <v>732761.98048</v>
      </c>
      <c r="G88" s="44" t="n">
        <f aca="false">F88+G87</f>
        <v>710609.065952533</v>
      </c>
      <c r="H88" s="44" t="n">
        <f aca="false">G88+H87</f>
        <v>689864.979341037</v>
      </c>
      <c r="I88" s="44" t="n">
        <f aca="false">H88+I87</f>
        <v>670610.485108388</v>
      </c>
      <c r="J88" s="44" t="n">
        <f aca="false">I88+J87</f>
        <v>652896.263049969</v>
      </c>
      <c r="K88" s="44" t="n">
        <f aca="false">J88+K87</f>
        <v>632646.120089837</v>
      </c>
      <c r="L88" s="44" t="n">
        <f aca="false">K88+L87</f>
        <v>610278.400531959</v>
      </c>
      <c r="M88" s="44" t="n">
        <f aca="false">L88+M87</f>
        <v>590950.591682429</v>
      </c>
      <c r="N88" s="44" t="n">
        <f aca="false">M88+N87</f>
        <v>573023.270897662</v>
      </c>
      <c r="O88" s="44" t="n">
        <f aca="false">N88+O87</f>
        <v>554942.442685467</v>
      </c>
      <c r="P88" s="44" t="n">
        <f aca="false">O88+P87</f>
        <v>532885.579112981</v>
      </c>
      <c r="Q88" s="44" t="n">
        <f aca="false">P88+Q87</f>
        <v>505555.072631855</v>
      </c>
      <c r="R88" s="44" t="n">
        <f aca="false">Q88+R87</f>
        <v>478191.065970236</v>
      </c>
      <c r="S88" s="44" t="n">
        <f aca="false">R88+S87</f>
        <v>452170.247747906</v>
      </c>
      <c r="T88" s="44" t="n">
        <f aca="false">S88+T87</f>
        <v>428545.999147903</v>
      </c>
      <c r="U88" s="44" t="n">
        <f aca="false">T88+U87</f>
        <v>407968.969589989</v>
      </c>
      <c r="V88" s="44" t="n">
        <f aca="false">U88+V87</f>
        <v>393656.262986532</v>
      </c>
      <c r="W88" s="44" t="n">
        <f aca="false">V88+W87</f>
        <v>383827.602803869</v>
      </c>
      <c r="X88" s="44" t="n">
        <f aca="false">W88+X87</f>
        <v>357918.202248384</v>
      </c>
      <c r="Y88" s="44" t="n">
        <f aca="false">X88+Y87</f>
        <v>346527.658594354</v>
      </c>
      <c r="Z88" s="44" t="n">
        <f aca="false">Y88+Z87</f>
        <v>337786.597827555</v>
      </c>
      <c r="AA88" s="44" t="n">
        <f aca="false">Z88+AA87</f>
        <v>177078.80193871</v>
      </c>
      <c r="AB88" s="44" t="n">
        <f aca="false">AA88+AB87</f>
        <v>166425.739912186</v>
      </c>
      <c r="AC88" s="44" t="n">
        <f aca="false">AB88+AC87</f>
        <v>148927.311905818</v>
      </c>
      <c r="AD88" s="44" t="n">
        <f aca="false">AC88+AD87</f>
        <v>126164.366114153</v>
      </c>
      <c r="AE88" s="44" t="n">
        <f aca="false">AD88+AE87</f>
        <v>110202.776955369</v>
      </c>
      <c r="AF88" s="44" t="n">
        <f aca="false">AE88+AF87</f>
        <v>97167.8197411526</v>
      </c>
      <c r="AG88" s="44" t="n">
        <f aca="false">AF88+AG87</f>
        <v>88512.6446779015</v>
      </c>
      <c r="AH88" s="44" t="n">
        <f aca="false">AG88+AH87</f>
        <v>90742.8851120193</v>
      </c>
      <c r="AI88" s="44" t="n">
        <f aca="false">AH88+AI87</f>
        <v>96404.8529988359</v>
      </c>
      <c r="AJ88" s="44" t="n">
        <f aca="false">AI88+AJ87</f>
        <v>74477.6336504032</v>
      </c>
      <c r="AK88" s="44" t="n">
        <f aca="false">AJ88+AK87</f>
        <v>76900.3223256042</v>
      </c>
      <c r="AL88" s="44" t="n">
        <f aca="false">AK88+AL87</f>
        <v>82504.9443388966</v>
      </c>
      <c r="AM88" s="44" t="n">
        <f aca="false">AL88+AM87</f>
        <v>82861.8400146224</v>
      </c>
      <c r="AO88" s="44" t="n">
        <f aca="false">INDEX($D88:$AM88,(AO$4-annee_debut)*12+12)</f>
        <v>554942.442685467</v>
      </c>
      <c r="AP88" s="44" t="n">
        <f aca="false">INDEX($D88:$AM88,(AP$4-annee_debut)*12+12)</f>
        <v>177078.80193871</v>
      </c>
      <c r="AQ88" s="44" t="n">
        <f aca="false">INDEX($D88:$AM88,(AQ$4-annee_debut)*12+12)</f>
        <v>82861.8400146224</v>
      </c>
    </row>
    <row r="89" customFormat="false" ht="15" hidden="false" customHeight="false" outlineLevel="0" collapsed="false">
      <c r="A89" s="10" t="s">
        <v>303</v>
      </c>
      <c r="B89" s="13" t="s">
        <v>161</v>
      </c>
      <c r="C89" s="50" t="n">
        <v>0</v>
      </c>
      <c r="D89" s="45" t="n">
        <f aca="false">C89+D82+D83</f>
        <v>-248433.333333333</v>
      </c>
      <c r="E89" s="45" t="n">
        <f aca="false">D89+E82+E83</f>
        <v>-267661.706666667</v>
      </c>
      <c r="F89" s="45" t="n">
        <f aca="false">E89+F82+F83</f>
        <v>-285588.01952</v>
      </c>
      <c r="G89" s="45" t="n">
        <f aca="false">F89+G82+G83</f>
        <v>-306915.934047467</v>
      </c>
      <c r="H89" s="45" t="n">
        <f aca="false">G89+H82+H83</f>
        <v>-326835.020658964</v>
      </c>
      <c r="I89" s="45" t="n">
        <f aca="false">H89+I82+I83</f>
        <v>-345264.514891612</v>
      </c>
      <c r="J89" s="45" t="n">
        <f aca="false">I89+J82+J83</f>
        <v>-362153.736950031</v>
      </c>
      <c r="K89" s="45" t="n">
        <f aca="false">J89+K82+K83</f>
        <v>-377895.785328265</v>
      </c>
      <c r="L89" s="45" t="n">
        <f aca="false">K89+L82+L83</f>
        <v>-395755.410304246</v>
      </c>
      <c r="M89" s="45" t="n">
        <f aca="false">L89+M82+M83</f>
        <v>-410575.124571878</v>
      </c>
      <c r="N89" s="45" t="n">
        <f aca="false">M89+N82+N83</f>
        <v>-423994.350774748</v>
      </c>
      <c r="O89" s="45" t="n">
        <f aca="false">N89+O82+O83</f>
        <v>-437567.084405045</v>
      </c>
      <c r="P89" s="45" t="n">
        <f aca="false">O89+P82+P83</f>
        <v>-455115.853395634</v>
      </c>
      <c r="Q89" s="45" t="n">
        <f aca="false">P89+Q82+Q83</f>
        <v>-477938.265294862</v>
      </c>
      <c r="R89" s="45" t="n">
        <f aca="false">Q89+R82+R83</f>
        <v>-500794.177374583</v>
      </c>
      <c r="S89" s="45" t="n">
        <f aca="false">R89+S82+S83</f>
        <v>-522306.901015016</v>
      </c>
      <c r="T89" s="45" t="n">
        <f aca="false">S89+T82+T83</f>
        <v>-541423.055033121</v>
      </c>
      <c r="U89" s="45" t="n">
        <f aca="false">T89+U82+U83</f>
        <v>-557491.990009138</v>
      </c>
      <c r="V89" s="45" t="n">
        <f aca="false">U89+V82+V83</f>
        <v>-567296.602030697</v>
      </c>
      <c r="W89" s="45" t="n">
        <f aca="false">V89+W82+W83</f>
        <v>-572617.167631463</v>
      </c>
      <c r="X89" s="45" t="n">
        <f aca="false">W89+X82+X83</f>
        <v>-594018.47360505</v>
      </c>
      <c r="Y89" s="45" t="n">
        <f aca="false">X89+Y82+Y83</f>
        <v>-600900.922677182</v>
      </c>
      <c r="Z89" s="45" t="n">
        <f aca="false">Y89+Z82+Z83</f>
        <v>-605133.888862083</v>
      </c>
      <c r="AA89" s="45" t="n">
        <f aca="false">Z89+AA82+AA83</f>
        <v>-761333.590169031</v>
      </c>
      <c r="AB89" s="45" t="n">
        <f aca="false">AA89+AB82+AB83</f>
        <v>-767478.557613657</v>
      </c>
      <c r="AC89" s="45" t="n">
        <f aca="false">AB89+AC82+AC83</f>
        <v>-780468.891038128</v>
      </c>
      <c r="AD89" s="45" t="n">
        <f aca="false">AC89+AD82+AD83</f>
        <v>-798723.742247896</v>
      </c>
      <c r="AE89" s="45" t="n">
        <f aca="false">AD89+AE82+AE83</f>
        <v>-810177.236824782</v>
      </c>
      <c r="AF89" s="45" t="n">
        <f aca="false">AE89+AF82+AF83</f>
        <v>-818704.099457101</v>
      </c>
      <c r="AG89" s="45" t="n">
        <f aca="false">AF89+AG82+AG83</f>
        <v>-822851.179938454</v>
      </c>
      <c r="AH89" s="45" t="n">
        <f aca="false">AG89+AH82+AH83</f>
        <v>-816112.844922439</v>
      </c>
      <c r="AI89" s="45" t="n">
        <f aca="false">AH89+AI82+AI83</f>
        <v>-805942.782453725</v>
      </c>
      <c r="AJ89" s="45" t="n">
        <f aca="false">AI89+AJ82+AJ83</f>
        <v>-823361.90722026</v>
      </c>
      <c r="AK89" s="45" t="n">
        <f aca="false">AJ89+AK82+AK83</f>
        <v>-816431.123963161</v>
      </c>
      <c r="AL89" s="45" t="n">
        <f aca="false">AK89+AL82+AL83</f>
        <v>-806318.407367971</v>
      </c>
      <c r="AM89" s="45" t="n">
        <f aca="false">AL89+AM82+AM83</f>
        <v>-801453.417110348</v>
      </c>
      <c r="AO89" s="45" t="n">
        <f aca="false">INDEX($D89:$AM89,(AO$4-annee_debut)*12+12)</f>
        <v>-437567.084405045</v>
      </c>
      <c r="AP89" s="45" t="n">
        <f aca="false">INDEX($D89:$AM89,(AP$4-annee_debut)*12+12)</f>
        <v>-761333.590169031</v>
      </c>
      <c r="AQ89" s="45" t="n">
        <f aca="false">INDEX($D89:$AM89,(AQ$4-annee_debut)*12+12)</f>
        <v>-801453.417110348</v>
      </c>
    </row>
    <row r="90" customFormat="false" ht="15" hidden="false" customHeight="false" outlineLevel="0" collapsed="false">
      <c r="A90" s="5" t="s">
        <v>435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</row>
    <row r="91" customFormat="false" ht="15" hidden="false" customHeight="false" outlineLevel="0" collapsed="false">
      <c r="A91" s="10" t="s">
        <v>436</v>
      </c>
      <c r="B91" s="13" t="s">
        <v>85</v>
      </c>
      <c r="C91" s="50" t="n">
        <v>0</v>
      </c>
      <c r="D91" s="45" t="n">
        <f aca="false">IF(D48&lt;=0,D$6,0)</f>
        <v>1</v>
      </c>
      <c r="E91" s="45" t="n">
        <f aca="false">IF(E48&lt;=0,E$6,0)</f>
        <v>2</v>
      </c>
      <c r="F91" s="45" t="n">
        <f aca="false">IF(F48&lt;=0,F$6,0)</f>
        <v>3</v>
      </c>
      <c r="G91" s="45" t="n">
        <f aca="false">IF(G48&lt;=0,G$6,0)</f>
        <v>4</v>
      </c>
      <c r="H91" s="45" t="n">
        <f aca="false">IF(H48&lt;=0,H$6,0)</f>
        <v>5</v>
      </c>
      <c r="I91" s="45" t="n">
        <f aca="false">IF(I48&lt;=0,I$6,0)</f>
        <v>6</v>
      </c>
      <c r="J91" s="45" t="n">
        <f aca="false">IF(J48&lt;=0,J$6,0)</f>
        <v>7</v>
      </c>
      <c r="K91" s="45" t="n">
        <f aca="false">IF(K48&lt;=0,K$6,0)</f>
        <v>8</v>
      </c>
      <c r="L91" s="45" t="n">
        <f aca="false">IF(L48&lt;=0,L$6,0)</f>
        <v>9</v>
      </c>
      <c r="M91" s="45" t="n">
        <f aca="false">IF(M48&lt;=0,M$6,0)</f>
        <v>10</v>
      </c>
      <c r="N91" s="45" t="n">
        <f aca="false">IF(N48&lt;=0,N$6,0)</f>
        <v>11</v>
      </c>
      <c r="O91" s="45" t="n">
        <f aca="false">IF(O48&lt;=0,O$6,0)</f>
        <v>12</v>
      </c>
      <c r="P91" s="45" t="n">
        <f aca="false">IF(P48&lt;=0,P$6,0)</f>
        <v>13</v>
      </c>
      <c r="Q91" s="45" t="n">
        <f aca="false">IF(Q48&lt;=0,Q$6,0)</f>
        <v>14</v>
      </c>
      <c r="R91" s="45" t="n">
        <f aca="false">IF(R48&lt;=0,R$6,0)</f>
        <v>15</v>
      </c>
      <c r="S91" s="45" t="n">
        <f aca="false">IF(S48&lt;=0,S$6,0)</f>
        <v>16</v>
      </c>
      <c r="T91" s="45" t="n">
        <f aca="false">IF(T48&lt;=0,T$6,0)</f>
        <v>17</v>
      </c>
      <c r="U91" s="45" t="n">
        <f aca="false">IF(U48&lt;=0,U$6,0)</f>
        <v>18</v>
      </c>
      <c r="V91" s="45" t="n">
        <f aca="false">IF(V48&lt;=0,V$6,0)</f>
        <v>19</v>
      </c>
      <c r="W91" s="45" t="n">
        <f aca="false">IF(W48&lt;=0,W$6,0)</f>
        <v>20</v>
      </c>
      <c r="X91" s="45" t="n">
        <f aca="false">IF(X48&lt;=0,X$6,0)</f>
        <v>21</v>
      </c>
      <c r="Y91" s="45" t="n">
        <f aca="false">IF(Y48&lt;=0,Y$6,0)</f>
        <v>22</v>
      </c>
      <c r="Z91" s="45" t="n">
        <f aca="false">IF(Z48&lt;=0,Z$6,0)</f>
        <v>23</v>
      </c>
      <c r="AA91" s="45" t="n">
        <f aca="false">IF(AA48&lt;=0,AA$6,0)</f>
        <v>0</v>
      </c>
      <c r="AB91" s="45" t="n">
        <f aca="false">IF(AB48&lt;=0,AB$6,0)</f>
        <v>25</v>
      </c>
      <c r="AC91" s="45" t="n">
        <f aca="false">IF(AC48&lt;=0,AC$6,0)</f>
        <v>26</v>
      </c>
      <c r="AD91" s="45" t="n">
        <f aca="false">IF(AD48&lt;=0,AD$6,0)</f>
        <v>27</v>
      </c>
      <c r="AE91" s="45" t="n">
        <f aca="false">IF(AE48&lt;=0,AE$6,0)</f>
        <v>28</v>
      </c>
      <c r="AF91" s="45" t="n">
        <f aca="false">IF(AF48&lt;=0,AF$6,0)</f>
        <v>0</v>
      </c>
      <c r="AG91" s="45" t="n">
        <f aca="false">IF(AG48&lt;=0,AG$6,0)</f>
        <v>0</v>
      </c>
      <c r="AH91" s="45" t="n">
        <f aca="false">IF(AH48&lt;=0,AH$6,0)</f>
        <v>0</v>
      </c>
      <c r="AI91" s="45" t="n">
        <f aca="false">IF(AI48&lt;=0,AI$6,0)</f>
        <v>32</v>
      </c>
      <c r="AJ91" s="45" t="n">
        <f aca="false">IF(AJ48&lt;=0,AJ$6,0)</f>
        <v>0</v>
      </c>
      <c r="AK91" s="45" t="n">
        <f aca="false">IF(AK48&lt;=0,AK$6,0)</f>
        <v>0</v>
      </c>
      <c r="AL91" s="45" t="n">
        <f aca="false">IF(AL48&lt;=0,AL$6,0)</f>
        <v>0</v>
      </c>
      <c r="AM91" s="45" t="n">
        <f aca="false">IF(AM48&lt;=0,AM$6,0)</f>
        <v>0</v>
      </c>
    </row>
    <row r="92" customFormat="false" ht="15" hidden="false" customHeight="false" outlineLevel="0" collapsed="false">
      <c r="A92" s="10" t="s">
        <v>437</v>
      </c>
      <c r="B92" s="13" t="s">
        <v>85</v>
      </c>
      <c r="C92" s="50" t="n">
        <v>0</v>
      </c>
      <c r="D92" s="45" t="str">
        <f aca="false">IF(D88&lt;0,D$6,"")</f>
        <v/>
      </c>
      <c r="E92" s="45" t="str">
        <f aca="false">IF(E88&lt;0,E$6,"")</f>
        <v/>
      </c>
      <c r="F92" s="45" t="str">
        <f aca="false">IF(F88&lt;0,F$6,"")</f>
        <v/>
      </c>
      <c r="G92" s="45" t="str">
        <f aca="false">IF(G88&lt;0,G$6,"")</f>
        <v/>
      </c>
      <c r="H92" s="45" t="str">
        <f aca="false">IF(H88&lt;0,H$6,"")</f>
        <v/>
      </c>
      <c r="I92" s="45" t="str">
        <f aca="false">IF(I88&lt;0,I$6,"")</f>
        <v/>
      </c>
      <c r="J92" s="45" t="str">
        <f aca="false">IF(J88&lt;0,J$6,"")</f>
        <v/>
      </c>
      <c r="K92" s="45" t="str">
        <f aca="false">IF(K88&lt;0,K$6,"")</f>
        <v/>
      </c>
      <c r="L92" s="45" t="str">
        <f aca="false">IF(L88&lt;0,L$6,"")</f>
        <v/>
      </c>
      <c r="M92" s="45" t="str">
        <f aca="false">IF(M88&lt;0,M$6,"")</f>
        <v/>
      </c>
      <c r="N92" s="45" t="str">
        <f aca="false">IF(N88&lt;0,N$6,"")</f>
        <v/>
      </c>
      <c r="O92" s="45" t="str">
        <f aca="false">IF(O88&lt;0,O$6,"")</f>
        <v/>
      </c>
      <c r="P92" s="45" t="str">
        <f aca="false">IF(P88&lt;0,P$6,"")</f>
        <v/>
      </c>
      <c r="Q92" s="45" t="str">
        <f aca="false">IF(Q88&lt;0,Q$6,"")</f>
        <v/>
      </c>
      <c r="R92" s="45" t="str">
        <f aca="false">IF(R88&lt;0,R$6,"")</f>
        <v/>
      </c>
      <c r="S92" s="45" t="str">
        <f aca="false">IF(S88&lt;0,S$6,"")</f>
        <v/>
      </c>
      <c r="T92" s="45" t="str">
        <f aca="false">IF(T88&lt;0,T$6,"")</f>
        <v/>
      </c>
      <c r="U92" s="45" t="str">
        <f aca="false">IF(U88&lt;0,U$6,"")</f>
        <v/>
      </c>
      <c r="V92" s="45" t="str">
        <f aca="false">IF(V88&lt;0,V$6,"")</f>
        <v/>
      </c>
      <c r="W92" s="45" t="str">
        <f aca="false">IF(W88&lt;0,W$6,"")</f>
        <v/>
      </c>
      <c r="X92" s="45" t="str">
        <f aca="false">IF(X88&lt;0,X$6,"")</f>
        <v/>
      </c>
      <c r="Y92" s="45" t="str">
        <f aca="false">IF(Y88&lt;0,Y$6,"")</f>
        <v/>
      </c>
      <c r="Z92" s="45" t="str">
        <f aca="false">IF(Z88&lt;0,Z$6,"")</f>
        <v/>
      </c>
      <c r="AA92" s="45" t="str">
        <f aca="false">IF(AA88&lt;0,AA$6,"")</f>
        <v/>
      </c>
      <c r="AB92" s="45" t="str">
        <f aca="false">IF(AB88&lt;0,AB$6,"")</f>
        <v/>
      </c>
      <c r="AC92" s="45" t="str">
        <f aca="false">IF(AC88&lt;0,AC$6,"")</f>
        <v/>
      </c>
      <c r="AD92" s="45" t="str">
        <f aca="false">IF(AD88&lt;0,AD$6,"")</f>
        <v/>
      </c>
      <c r="AE92" s="45" t="str">
        <f aca="false">IF(AE88&lt;0,AE$6,"")</f>
        <v/>
      </c>
      <c r="AF92" s="45" t="str">
        <f aca="false">IF(AF88&lt;0,AF$6,"")</f>
        <v/>
      </c>
      <c r="AG92" s="45" t="str">
        <f aca="false">IF(AG88&lt;0,AG$6,"")</f>
        <v/>
      </c>
      <c r="AH92" s="45" t="str">
        <f aca="false">IF(AH88&lt;0,AH$6,"")</f>
        <v/>
      </c>
      <c r="AI92" s="45" t="str">
        <f aca="false">IF(AI88&lt;0,AI$6,"")</f>
        <v/>
      </c>
      <c r="AJ92" s="45" t="str">
        <f aca="false">IF(AJ88&lt;0,AJ$6,"")</f>
        <v/>
      </c>
      <c r="AK92" s="45" t="str">
        <f aca="false">IF(AK88&lt;0,AK$6,"")</f>
        <v/>
      </c>
      <c r="AL92" s="45" t="str">
        <f aca="false">IF(AL88&lt;0,AL$6,"")</f>
        <v/>
      </c>
      <c r="AM92" s="45" t="str">
        <f aca="false">IF(AM88&lt;0,AM$6,"")</f>
        <v/>
      </c>
    </row>
    <row r="93" customFormat="false" ht="15" hidden="false" customHeight="false" outlineLevel="0" collapsed="false">
      <c r="A93" s="10" t="s">
        <v>327</v>
      </c>
      <c r="B93" s="13" t="s">
        <v>161</v>
      </c>
      <c r="C93" s="50" t="n">
        <v>0</v>
      </c>
      <c r="D93" s="45" t="n">
        <f aca="false">SUM($D51:D51)+SUM($D52:D52)+D59*SUM($D60:D60)</f>
        <v>237600</v>
      </c>
      <c r="E93" s="45" t="n">
        <f aca="false">SUM($D51:E51)+SUM($D52:E52)+E59*SUM($D60:E60)</f>
        <v>237375.18288</v>
      </c>
      <c r="F93" s="45" t="n">
        <f aca="false">SUM($D51:F51)+SUM($D52:F52)+F59*SUM($D60:F60)</f>
        <v>236987.983045584</v>
      </c>
      <c r="G93" s="45" t="n">
        <f aca="false">SUM($D51:G51)+SUM($D52:G52)+G59*SUM($D60:G60)</f>
        <v>236450.524426139</v>
      </c>
      <c r="H93" s="45" t="n">
        <f aca="false">SUM($D51:H51)+SUM($D52:H52)+H59*SUM($D60:H60)</f>
        <v>235765.733893841</v>
      </c>
      <c r="I93" s="45" t="n">
        <f aca="false">SUM($D51:I51)+SUM($D52:I52)+I59*SUM($D60:I60)</f>
        <v>234945.555832092</v>
      </c>
      <c r="J93" s="45" t="n">
        <f aca="false">SUM($D51:J51)+SUM($D52:J52)+J59*SUM($D60:J60)</f>
        <v>234057.478703057</v>
      </c>
      <c r="K93" s="45" t="n">
        <f aca="false">SUM($D51:K51)+SUM($D52:K52)+K59*SUM($D60:K60)</f>
        <v>233327.477672644</v>
      </c>
      <c r="L93" s="45" t="n">
        <f aca="false">SUM($D51:L51)+SUM($D52:L52)+L59*SUM($D60:L60)</f>
        <v>233696.539787516</v>
      </c>
      <c r="M93" s="45" t="n">
        <f aca="false">SUM($D51:M51)+SUM($D52:M52)+M59*SUM($D60:M60)</f>
        <v>234419.215552489</v>
      </c>
      <c r="N93" s="45" t="n">
        <f aca="false">SUM($D51:N51)+SUM($D52:N52)+N59*SUM($D60:N60)</f>
        <v>234765.97348413</v>
      </c>
      <c r="O93" s="45" t="n">
        <f aca="false">SUM($D51:O51)+SUM($D52:O52)+O59*SUM($D60:O60)</f>
        <v>236143.923211916</v>
      </c>
      <c r="P93" s="45" t="n">
        <f aca="false">SUM($D51:P51)+SUM($D52:P52)+P59*SUM($D60:P60)</f>
        <v>236225.352386394</v>
      </c>
      <c r="Q93" s="45" t="n">
        <f aca="false">SUM($D51:Q51)+SUM($D52:Q52)+Q59*SUM($D60:Q60)</f>
        <v>239050.252446295</v>
      </c>
      <c r="R93" s="45" t="n">
        <f aca="false">SUM($D51:R51)+SUM($D52:R52)+R59*SUM($D60:R60)</f>
        <v>243418.961608152</v>
      </c>
      <c r="S93" s="45" t="n">
        <f aca="false">SUM($D51:S51)+SUM($D52:S52)+S59*SUM($D60:S60)</f>
        <v>246638.895453035</v>
      </c>
      <c r="T93" s="45" t="n">
        <f aca="false">SUM($D51:T51)+SUM($D52:T52)+T59*SUM($D60:T60)</f>
        <v>250181.544208268</v>
      </c>
      <c r="U93" s="45" t="n">
        <f aca="false">SUM($D51:U51)+SUM($D52:U52)+U59*SUM($D60:U60)</f>
        <v>253661.393675037</v>
      </c>
      <c r="V93" s="45" t="n">
        <f aca="false">SUM($D51:V51)+SUM($D52:V52)+V59*SUM($D60:V60)</f>
        <v>253962.240701443</v>
      </c>
      <c r="W93" s="45" t="n">
        <f aca="false">SUM($D51:W51)+SUM($D52:W52)+W59*SUM($D60:W60)</f>
        <v>251975.18106715</v>
      </c>
      <c r="X93" s="45" t="n">
        <f aca="false">SUM($D51:X51)+SUM($D52:X52)+X59*SUM($D60:X60)</f>
        <v>257833.165242641</v>
      </c>
      <c r="Y93" s="45" t="n">
        <f aca="false">SUM($D51:Y51)+SUM($D52:Y52)+Y59*SUM($D60:Y60)</f>
        <v>257858.406630676</v>
      </c>
      <c r="Z93" s="45" t="n">
        <f aca="false">SUM($D51:Z51)+SUM($D52:Z52)+Z59*SUM($D60:Z60)</f>
        <v>257010.671238283</v>
      </c>
      <c r="AA93" s="45" t="n">
        <f aca="false">SUM($D51:AA51)+SUM($D52:AA52)+AA59*SUM($D60:AA60)</f>
        <v>409503.471657048</v>
      </c>
      <c r="AB93" s="45" t="n">
        <f aca="false">SUM($D51:AB51)+SUM($D52:AB52)+AB59*SUM($D60:AB60)</f>
        <v>406714.379823521</v>
      </c>
      <c r="AC93" s="45" t="n">
        <f aca="false">SUM($D51:AC51)+SUM($D52:AC52)+AC59*SUM($D60:AC60)</f>
        <v>408061.724475531</v>
      </c>
      <c r="AD93" s="45" t="n">
        <f aca="false">SUM($D51:AD51)+SUM($D52:AD52)+AD59*SUM($D60:AD60)</f>
        <v>414454.818882774</v>
      </c>
      <c r="AE93" s="45" t="n">
        <f aca="false">SUM($D51:AE51)+SUM($D52:AE52)+AE59*SUM($D60:AE60)</f>
        <v>418072.792705555</v>
      </c>
      <c r="AF93" s="45" t="n">
        <f aca="false">SUM($D51:AF51)+SUM($D52:AF52)+AF59*SUM($D60:AF60)</f>
        <v>422536.618059545</v>
      </c>
      <c r="AG93" s="45" t="n">
        <f aca="false">SUM($D51:AG51)+SUM($D52:AG52)+AG59*SUM($D60:AG60)</f>
        <v>426911.904817288</v>
      </c>
      <c r="AH93" s="45" t="n">
        <f aca="false">SUM($D51:AH51)+SUM($D52:AH52)+AH59*SUM($D60:AH60)</f>
        <v>424816.060382551</v>
      </c>
      <c r="AI93" s="45" t="n">
        <f aca="false">SUM($D51:AI51)+SUM($D52:AI52)+AI59*SUM($D60:AI60)</f>
        <v>421700.494225041</v>
      </c>
      <c r="AJ93" s="45" t="n">
        <f aca="false">SUM($D51:AJ51)+SUM($D52:AJ52)+AJ59*SUM($D60:AJ60)</f>
        <v>427863.91707842</v>
      </c>
      <c r="AK93" s="45" t="n">
        <f aca="false">SUM($D51:AK51)+SUM($D52:AK52)+AK59*SUM($D60:AK60)</f>
        <v>426162.349448355</v>
      </c>
      <c r="AL93" s="45" t="n">
        <f aca="false">SUM($D51:AL51)+SUM($D52:AL52)+AL59*SUM($D60:AL60)</f>
        <v>423092.523780395</v>
      </c>
      <c r="AM93" s="45" t="n">
        <f aca="false">SUM($D51:AM51)+SUM($D52:AM52)+AM59*SUM($D60:AM60)</f>
        <v>426388.536527225</v>
      </c>
      <c r="AO93" s="45" t="n">
        <f aca="false">INDEX($D93:$AM93,(AO$4-annee_debut)*12+12)</f>
        <v>236143.923211916</v>
      </c>
      <c r="AP93" s="45" t="n">
        <f aca="false">INDEX($D93:$AM93,(AP$4-annee_debut)*12+12)</f>
        <v>409503.471657048</v>
      </c>
      <c r="AQ93" s="45" t="n">
        <f aca="false">INDEX($D93:$AM93,(AQ$4-annee_debut)*12+12)</f>
        <v>426388.536527225</v>
      </c>
    </row>
    <row r="94" customFormat="false" ht="15" hidden="false" customHeight="false" outlineLevel="0" collapsed="false">
      <c r="A94" s="10" t="s">
        <v>329</v>
      </c>
      <c r="B94" s="13" t="s">
        <v>161</v>
      </c>
      <c r="C94" s="50" t="n">
        <v>0</v>
      </c>
      <c r="D94" s="45" t="n">
        <f aca="false">C94+D56-D64-D62</f>
        <v>234742.063492064</v>
      </c>
      <c r="E94" s="45" t="n">
        <f aca="false">D94+E56-E64-E62</f>
        <v>231671.799704127</v>
      </c>
      <c r="F94" s="45" t="n">
        <f aca="false">E94+F56-F64-F62</f>
        <v>228465.174934642</v>
      </c>
      <c r="G94" s="45" t="n">
        <f aca="false">F94+G56-G64-G62</f>
        <v>225146.497902599</v>
      </c>
      <c r="H94" s="45" t="n">
        <f aca="false">G94+H56-H64-H62</f>
        <v>221730.810535569</v>
      </c>
      <c r="I94" s="45" t="n">
        <f aca="false">H94+I56-I64-I62</f>
        <v>218240.344145791</v>
      </c>
      <c r="J94" s="45" t="n">
        <f aca="false">I94+J56-J64-J62</f>
        <v>214740.746733018</v>
      </c>
      <c r="K94" s="45" t="n">
        <f aca="false">J94+K56-K64-K62</f>
        <v>211413.435015231</v>
      </c>
      <c r="L94" s="45" t="n">
        <f aca="false">K94+L56-L64-L62</f>
        <v>209244.537337158</v>
      </c>
      <c r="M94" s="45" t="n">
        <f aca="false">L94+M56-M64-M62</f>
        <v>207421.24413766</v>
      </c>
      <c r="N94" s="45" t="n">
        <f aca="false">M94+N56-N64-N62</f>
        <v>205225.038179021</v>
      </c>
      <c r="O94" s="45" t="n">
        <f aca="false">N94+O56-O64-O62</f>
        <v>204034.170226002</v>
      </c>
      <c r="P94" s="45" t="n">
        <f aca="false">O94+P56-P64-P62</f>
        <v>201558.789088287</v>
      </c>
      <c r="Q94" s="45" t="n">
        <f aca="false">P94+Q56-Q64-Q62</f>
        <v>201761.821010827</v>
      </c>
      <c r="R94" s="45" t="n">
        <f aca="false">Q94+R56-R64-R62</f>
        <v>203405.367611498</v>
      </c>
      <c r="S94" s="45" t="n">
        <f aca="false">R94+S56-S64-S62</f>
        <v>203836.133069975</v>
      </c>
      <c r="T94" s="45" t="n">
        <f aca="false">S94+T56-T64-T62</f>
        <v>204521.215155175</v>
      </c>
      <c r="U94" s="45" t="n">
        <f aca="false">T94+U56-U64-U62</f>
        <v>205081.729684649</v>
      </c>
      <c r="V94" s="45" t="n">
        <f aca="false">U94+V56-V64-V62</f>
        <v>202494.191148934</v>
      </c>
      <c r="W94" s="45" t="n">
        <f aca="false">V94+W56-W64-W62</f>
        <v>197627.61994312</v>
      </c>
      <c r="X94" s="45" t="n">
        <f aca="false">W94+X56-X64-X62</f>
        <v>200563.250153044</v>
      </c>
      <c r="Y94" s="45" t="n">
        <f aca="false">X94+Y56-Y64-Y62</f>
        <v>197704.958307737</v>
      </c>
      <c r="Z94" s="45" t="n">
        <f aca="false">Y94+Z56-Z64-Z62</f>
        <v>194033.986859797</v>
      </c>
      <c r="AA94" s="45" t="n">
        <f aca="false">Z94+AA56-AA64-AA62</f>
        <v>341881.034512402</v>
      </c>
      <c r="AB94" s="45" t="n">
        <f aca="false">AA94+AB56-AB64-AB62</f>
        <v>334551.328592651</v>
      </c>
      <c r="AC94" s="45" t="n">
        <f aca="false">AB94+AC56-AC64-AC62</f>
        <v>331355.60065724</v>
      </c>
      <c r="AD94" s="45" t="n">
        <f aca="false">AC94+AD56-AD64-AD62</f>
        <v>333055.772998637</v>
      </c>
      <c r="AE94" s="45" t="n">
        <f aca="false">AD94+AE56-AE64-AE62</f>
        <v>331918.765494224</v>
      </c>
      <c r="AF94" s="45" t="n">
        <f aca="false">AE94+AF56-AF64-AF62</f>
        <v>331546.487188186</v>
      </c>
      <c r="AG94" s="45" t="n">
        <f aca="false">AF94+AG56-AG64-AG62</f>
        <v>331012.801810863</v>
      </c>
      <c r="AH94" s="45" t="n">
        <f aca="false">AG94+AH56-AH64-AH62</f>
        <v>324120.075301332</v>
      </c>
      <c r="AI94" s="45" t="n">
        <f aca="false">AH94+AI56-AI64-AI62</f>
        <v>316150.783239917</v>
      </c>
      <c r="AJ94" s="45" t="n">
        <f aca="false">AI94+AJ56-AJ64-AJ62</f>
        <v>317528.453058877</v>
      </c>
      <c r="AK94" s="45" t="n">
        <f aca="false">AJ94+AK56-AK64-AK62</f>
        <v>311133.468956869</v>
      </c>
      <c r="AL94" s="45" t="n">
        <f aca="false">AK94+AL56-AL64-AL62</f>
        <v>303493.975078414</v>
      </c>
      <c r="AM94" s="45" t="n">
        <f aca="false">AL94+AM56-AM64-AM62</f>
        <v>302158.399869811</v>
      </c>
      <c r="AO94" s="45" t="n">
        <f aca="false">INDEX($D94:$AM94,(AO$4-annee_debut)*12+12)</f>
        <v>204034.170226002</v>
      </c>
      <c r="AP94" s="45" t="n">
        <f aca="false">INDEX($D94:$AM94,(AP$4-annee_debut)*12+12)</f>
        <v>341881.034512402</v>
      </c>
      <c r="AQ94" s="45" t="n">
        <f aca="false">INDEX($D94:$AM94,(AQ$4-annee_debut)*12+12)</f>
        <v>302158.399869811</v>
      </c>
    </row>
    <row r="95" customFormat="false" ht="15" hidden="false" customHeight="false" outlineLevel="0" collapsed="false">
      <c r="A95" s="10" t="s">
        <v>438</v>
      </c>
      <c r="B95" s="13" t="s">
        <v>161</v>
      </c>
      <c r="C95" s="50" t="n">
        <v>0</v>
      </c>
      <c r="D95" s="45" t="n">
        <f aca="false">D93-D94</f>
        <v>2857.93650793651</v>
      </c>
      <c r="E95" s="45" t="n">
        <f aca="false">E93-E94</f>
        <v>5703.38317587302</v>
      </c>
      <c r="F95" s="45" t="n">
        <f aca="false">F93-F94</f>
        <v>8522.80811094149</v>
      </c>
      <c r="G95" s="45" t="n">
        <f aca="false">G93-G94</f>
        <v>11304.0265235392</v>
      </c>
      <c r="H95" s="45" t="n">
        <f aca="false">H93-H94</f>
        <v>14034.9233582715</v>
      </c>
      <c r="I95" s="45" t="n">
        <f aca="false">I93-I94</f>
        <v>16705.211686301</v>
      </c>
      <c r="J95" s="45" t="n">
        <f aca="false">J93-J94</f>
        <v>19316.7319700389</v>
      </c>
      <c r="K95" s="45" t="n">
        <f aca="false">K93-K94</f>
        <v>21914.042657413</v>
      </c>
      <c r="L95" s="45" t="n">
        <f aca="false">L93-L94</f>
        <v>24452.0024503576</v>
      </c>
      <c r="M95" s="45" t="n">
        <f aca="false">M93-M94</f>
        <v>26997.9714148286</v>
      </c>
      <c r="N95" s="45" t="n">
        <f aca="false">N93-N94</f>
        <v>29540.9353051086</v>
      </c>
      <c r="O95" s="45" t="n">
        <f aca="false">O93-O94</f>
        <v>32109.7529859137</v>
      </c>
      <c r="P95" s="45" t="n">
        <f aca="false">P93-P94</f>
        <v>34666.5632981066</v>
      </c>
      <c r="Q95" s="45" t="n">
        <f aca="false">Q93-Q94</f>
        <v>37288.4314354688</v>
      </c>
      <c r="R95" s="45" t="n">
        <f aca="false">R93-R94</f>
        <v>40013.5939966539</v>
      </c>
      <c r="S95" s="45" t="n">
        <f aca="false">S93-S94</f>
        <v>42802.7623830599</v>
      </c>
      <c r="T95" s="45" t="n">
        <f aca="false">T93-T94</f>
        <v>45660.3290530937</v>
      </c>
      <c r="U95" s="45" t="n">
        <f aca="false">U93-U94</f>
        <v>48579.6639903879</v>
      </c>
      <c r="V95" s="45" t="n">
        <f aca="false">V93-V94</f>
        <v>51468.0495525091</v>
      </c>
      <c r="W95" s="45" t="n">
        <f aca="false">W93-W94</f>
        <v>54347.5611240295</v>
      </c>
      <c r="X95" s="45" t="n">
        <f aca="false">X93-X94</f>
        <v>57269.9150895973</v>
      </c>
      <c r="Y95" s="45" t="n">
        <f aca="false">Y93-Y94</f>
        <v>60153.4483229386</v>
      </c>
      <c r="Z95" s="45" t="n">
        <f aca="false">Z93-Z94</f>
        <v>62976.684378486</v>
      </c>
      <c r="AA95" s="45" t="n">
        <f aca="false">AA93-AA94</f>
        <v>67622.437144646</v>
      </c>
      <c r="AB95" s="45" t="n">
        <f aca="false">AB93-AB94</f>
        <v>72163.0512308697</v>
      </c>
      <c r="AC95" s="45" t="n">
        <f aca="false">AC93-AC94</f>
        <v>76706.1238182912</v>
      </c>
      <c r="AD95" s="45" t="n">
        <f aca="false">AD93-AD94</f>
        <v>81399.0458841367</v>
      </c>
      <c r="AE95" s="45" t="n">
        <f aca="false">AE93-AE94</f>
        <v>86154.0272113311</v>
      </c>
      <c r="AF95" s="45" t="n">
        <f aca="false">AF93-AF94</f>
        <v>90990.1308713594</v>
      </c>
      <c r="AG95" s="45" t="n">
        <f aca="false">AG93-AG94</f>
        <v>95899.1030064251</v>
      </c>
      <c r="AH95" s="45" t="n">
        <f aca="false">AH93-AH94</f>
        <v>100695.985081218</v>
      </c>
      <c r="AI95" s="45" t="n">
        <f aca="false">AI93-AI94</f>
        <v>105549.710985123</v>
      </c>
      <c r="AJ95" s="45" t="n">
        <f aca="false">AJ93-AJ94</f>
        <v>110335.464019544</v>
      </c>
      <c r="AK95" s="45" t="n">
        <f aca="false">AK93-AK94</f>
        <v>115028.880491486</v>
      </c>
      <c r="AL95" s="45" t="n">
        <f aca="false">AL93-AL94</f>
        <v>119598.548701981</v>
      </c>
      <c r="AM95" s="45" t="n">
        <f aca="false">AM93-AM94</f>
        <v>124230.136657414</v>
      </c>
      <c r="AO95" s="45" t="n">
        <f aca="false">INDEX($D95:$AM95,(AO$4-annee_debut)*12+12)</f>
        <v>32109.7529859137</v>
      </c>
      <c r="AP95" s="45" t="n">
        <f aca="false">INDEX($D95:$AM95,(AP$4-annee_debut)*12+12)</f>
        <v>67622.437144646</v>
      </c>
      <c r="AQ95" s="45" t="n">
        <f aca="false">INDEX($D95:$AM95,(AQ$4-annee_debut)*12+12)</f>
        <v>124230.136657414</v>
      </c>
    </row>
    <row r="96" customFormat="false" ht="15" hidden="false" customHeight="false" outlineLevel="0" collapsed="false">
      <c r="A96" s="10" t="s">
        <v>334</v>
      </c>
      <c r="B96" s="13" t="s">
        <v>161</v>
      </c>
      <c r="C96" s="50" t="n">
        <v>0</v>
      </c>
      <c r="D96" s="45" t="n">
        <f aca="false">C96+IF(D$6=mois_apport,apport,0)+part_nominale*(IF(D$6=mois_levee,levee,0)+D85/(1-decote_tranche))</f>
        <v>51612.9032258065</v>
      </c>
      <c r="E96" s="45" t="n">
        <f aca="false">D96+IF(E$6=mois_apport,apport,0)+part_nominale*(IF(E$6=mois_levee,levee,0)+E85/(1-decote_tranche))</f>
        <v>51612.9032258065</v>
      </c>
      <c r="F96" s="45" t="n">
        <f aca="false">E96+IF(F$6=mois_apport,apport,0)+part_nominale*(IF(F$6=mois_levee,levee,0)+F85/(1-decote_tranche))</f>
        <v>51612.9032258065</v>
      </c>
      <c r="G96" s="45" t="n">
        <f aca="false">F96+IF(G$6=mois_apport,apport,0)+part_nominale*(IF(G$6=mois_levee,levee,0)+G85/(1-decote_tranche))</f>
        <v>51612.9032258065</v>
      </c>
      <c r="H96" s="45" t="n">
        <f aca="false">G96+IF(H$6=mois_apport,apport,0)+part_nominale*(IF(H$6=mois_levee,levee,0)+H85/(1-decote_tranche))</f>
        <v>51612.9032258065</v>
      </c>
      <c r="I96" s="45" t="n">
        <f aca="false">H96+IF(I$6=mois_apport,apport,0)+part_nominale*(IF(I$6=mois_levee,levee,0)+I85/(1-decote_tranche))</f>
        <v>51612.9032258065</v>
      </c>
      <c r="J96" s="45" t="n">
        <f aca="false">I96+IF(J$6=mois_apport,apport,0)+part_nominale*(IF(J$6=mois_levee,levee,0)+J85/(1-decote_tranche))</f>
        <v>51612.9032258065</v>
      </c>
      <c r="K96" s="45" t="n">
        <f aca="false">J96+IF(K$6=mois_apport,apport,0)+part_nominale*(IF(K$6=mois_levee,levee,0)+K85/(1-decote_tranche))</f>
        <v>51612.9032258065</v>
      </c>
      <c r="L96" s="45" t="n">
        <f aca="false">K96+IF(L$6=mois_apport,apport,0)+part_nominale*(IF(L$6=mois_levee,levee,0)+L85/(1-decote_tranche))</f>
        <v>51612.9032258065</v>
      </c>
      <c r="M96" s="45" t="n">
        <f aca="false">L96+IF(M$6=mois_apport,apport,0)+part_nominale*(IF(M$6=mois_levee,levee,0)+M85/(1-decote_tranche))</f>
        <v>51612.9032258065</v>
      </c>
      <c r="N96" s="45" t="n">
        <f aca="false">M96+IF(N$6=mois_apport,apport,0)+part_nominale*(IF(N$6=mois_levee,levee,0)+N85/(1-decote_tranche))</f>
        <v>51612.9032258065</v>
      </c>
      <c r="O96" s="45" t="n">
        <f aca="false">N96+IF(O$6=mois_apport,apport,0)+part_nominale*(IF(O$6=mois_levee,levee,0)+O85/(1-decote_tranche))</f>
        <v>51612.9032258065</v>
      </c>
      <c r="P96" s="45" t="n">
        <f aca="false">O96+IF(P$6=mois_apport,apport,0)+part_nominale*(IF(P$6=mois_levee,levee,0)+P85/(1-decote_tranche))</f>
        <v>51612.9032258065</v>
      </c>
      <c r="Q96" s="45" t="n">
        <f aca="false">P96+IF(Q$6=mois_apport,apport,0)+part_nominale*(IF(Q$6=mois_levee,levee,0)+Q85/(1-decote_tranche))</f>
        <v>51612.9032258065</v>
      </c>
      <c r="R96" s="45" t="n">
        <f aca="false">Q96+IF(R$6=mois_apport,apport,0)+part_nominale*(IF(R$6=mois_levee,levee,0)+R85/(1-decote_tranche))</f>
        <v>51612.9032258065</v>
      </c>
      <c r="S96" s="45" t="n">
        <f aca="false">R96+IF(S$6=mois_apport,apport,0)+part_nominale*(IF(S$6=mois_levee,levee,0)+S85/(1-decote_tranche))</f>
        <v>51612.9032258065</v>
      </c>
      <c r="T96" s="45" t="n">
        <f aca="false">S96+IF(T$6=mois_apport,apport,0)+part_nominale*(IF(T$6=mois_levee,levee,0)+T85/(1-decote_tranche))</f>
        <v>51612.9032258065</v>
      </c>
      <c r="U96" s="45" t="n">
        <f aca="false">T96+IF(U$6=mois_apport,apport,0)+part_nominale*(IF(U$6=mois_levee,levee,0)+U85/(1-decote_tranche))</f>
        <v>51612.9032258065</v>
      </c>
      <c r="V96" s="45" t="n">
        <f aca="false">U96+IF(V$6=mois_apport,apport,0)+part_nominale*(IF(V$6=mois_levee,levee,0)+V85/(1-decote_tranche))</f>
        <v>51612.9032258065</v>
      </c>
      <c r="W96" s="45" t="n">
        <f aca="false">V96+IF(W$6=mois_apport,apport,0)+part_nominale*(IF(W$6=mois_levee,levee,0)+W85/(1-decote_tranche))</f>
        <v>51612.9032258065</v>
      </c>
      <c r="X96" s="45" t="n">
        <f aca="false">W96+IF(X$6=mois_apport,apport,0)+part_nominale*(IF(X$6=mois_levee,levee,0)+X85/(1-decote_tranche))</f>
        <v>51612.9032258065</v>
      </c>
      <c r="Y96" s="45" t="n">
        <f aca="false">X96+IF(Y$6=mois_apport,apport,0)+part_nominale*(IF(Y$6=mois_levee,levee,0)+Y85/(1-decote_tranche))</f>
        <v>51612.9032258065</v>
      </c>
      <c r="Z96" s="45" t="n">
        <f aca="false">Y96+IF(Z$6=mois_apport,apport,0)+part_nominale*(IF(Z$6=mois_levee,levee,0)+Z85/(1-decote_tranche))</f>
        <v>51612.9032258065</v>
      </c>
      <c r="AA96" s="45" t="n">
        <f aca="false">Z96+IF(AA$6=mois_apport,apport,0)+part_nominale*(IF(AA$6=mois_levee,levee,0)+AA85/(1-decote_tranche))</f>
        <v>51612.9032258065</v>
      </c>
      <c r="AB96" s="45" t="n">
        <f aca="false">AA96+IF(AB$6=mois_apport,apport,0)+part_nominale*(IF(AB$6=mois_levee,levee,0)+AB85/(1-decote_tranche))</f>
        <v>51612.9032258065</v>
      </c>
      <c r="AC96" s="45" t="n">
        <f aca="false">AB96+IF(AC$6=mois_apport,apport,0)+part_nominale*(IF(AC$6=mois_levee,levee,0)+AC85/(1-decote_tranche))</f>
        <v>51612.9032258065</v>
      </c>
      <c r="AD96" s="45" t="n">
        <f aca="false">AC96+IF(AD$6=mois_apport,apport,0)+part_nominale*(IF(AD$6=mois_levee,levee,0)+AD85/(1-decote_tranche))</f>
        <v>51612.9032258065</v>
      </c>
      <c r="AE96" s="45" t="n">
        <f aca="false">AD96+IF(AE$6=mois_apport,apport,0)+part_nominale*(IF(AE$6=mois_levee,levee,0)+AE85/(1-decote_tranche))</f>
        <v>51612.9032258065</v>
      </c>
      <c r="AF96" s="45" t="n">
        <f aca="false">AE96+IF(AF$6=mois_apport,apport,0)+part_nominale*(IF(AF$6=mois_levee,levee,0)+AF85/(1-decote_tranche))</f>
        <v>51612.9032258065</v>
      </c>
      <c r="AG96" s="45" t="n">
        <f aca="false">AF96+IF(AG$6=mois_apport,apport,0)+part_nominale*(IF(AG$6=mois_levee,levee,0)+AG85/(1-decote_tranche))</f>
        <v>51612.9032258065</v>
      </c>
      <c r="AH96" s="45" t="n">
        <f aca="false">AG96+IF(AH$6=mois_apport,apport,0)+part_nominale*(IF(AH$6=mois_levee,levee,0)+AH85/(1-decote_tranche))</f>
        <v>51612.9032258065</v>
      </c>
      <c r="AI96" s="45" t="n">
        <f aca="false">AH96+IF(AI$6=mois_apport,apport,0)+part_nominale*(IF(AI$6=mois_levee,levee,0)+AI85/(1-decote_tranche))</f>
        <v>51612.9032258065</v>
      </c>
      <c r="AJ96" s="45" t="n">
        <f aca="false">AI96+IF(AJ$6=mois_apport,apport,0)+part_nominale*(IF(AJ$6=mois_levee,levee,0)+AJ85/(1-decote_tranche))</f>
        <v>51612.9032258065</v>
      </c>
      <c r="AK96" s="45" t="n">
        <f aca="false">AJ96+IF(AK$6=mois_apport,apport,0)+part_nominale*(IF(AK$6=mois_levee,levee,0)+AK85/(1-decote_tranche))</f>
        <v>51612.9032258065</v>
      </c>
      <c r="AL96" s="45" t="n">
        <f aca="false">AK96+IF(AL$6=mois_apport,apport,0)+part_nominale*(IF(AL$6=mois_levee,levee,0)+AL85/(1-decote_tranche))</f>
        <v>51612.9032258065</v>
      </c>
      <c r="AM96" s="45" t="n">
        <f aca="false">AL96+IF(AM$6=mois_apport,apport,0)+part_nominale*(IF(AM$6=mois_levee,levee,0)+AM85/(1-decote_tranche))</f>
        <v>51612.9032258065</v>
      </c>
      <c r="AO96" s="45" t="n">
        <f aca="false">INDEX($D96:$AM96,(AO$4-annee_debut)*12+12)</f>
        <v>51612.9032258065</v>
      </c>
      <c r="AP96" s="45" t="n">
        <f aca="false">INDEX($D96:$AM96,(AP$4-annee_debut)*12+12)</f>
        <v>51612.9032258065</v>
      </c>
      <c r="AQ96" s="45" t="n">
        <f aca="false">INDEX($D96:$AM96,(AQ$4-annee_debut)*12+12)</f>
        <v>51612.9032258065</v>
      </c>
    </row>
    <row r="97" customFormat="false" ht="15" hidden="false" customHeight="false" outlineLevel="0" collapsed="false">
      <c r="A97" s="10" t="s">
        <v>335</v>
      </c>
      <c r="B97" s="13" t="s">
        <v>161</v>
      </c>
      <c r="C97" s="50" t="n">
        <v>0</v>
      </c>
      <c r="D97" s="45" t="n">
        <f aca="false">C97+(1-part_nominale)*IF(D$6=mois_levee,levee,0)+D85*(1-part_nominale/(1-decote_tranche))</f>
        <v>688387.096774194</v>
      </c>
      <c r="E97" s="45" t="n">
        <f aca="false">D97+(1-part_nominale)*IF(E$6=mois_levee,levee,0)+E85*(1-part_nominale/(1-decote_tranche))</f>
        <v>688387.096774194</v>
      </c>
      <c r="F97" s="45" t="n">
        <f aca="false">E97+(1-part_nominale)*IF(F$6=mois_levee,levee,0)+F85*(1-part_nominale/(1-decote_tranche))</f>
        <v>688387.096774194</v>
      </c>
      <c r="G97" s="45" t="n">
        <f aca="false">F97+(1-part_nominale)*IF(G$6=mois_levee,levee,0)+G85*(1-part_nominale/(1-decote_tranche))</f>
        <v>688387.096774194</v>
      </c>
      <c r="H97" s="45" t="n">
        <f aca="false">G97+(1-part_nominale)*IF(H$6=mois_levee,levee,0)+H85*(1-part_nominale/(1-decote_tranche))</f>
        <v>688387.096774194</v>
      </c>
      <c r="I97" s="45" t="n">
        <f aca="false">H97+(1-part_nominale)*IF(I$6=mois_levee,levee,0)+I85*(1-part_nominale/(1-decote_tranche))</f>
        <v>688387.096774194</v>
      </c>
      <c r="J97" s="45" t="n">
        <f aca="false">I97+(1-part_nominale)*IF(J$6=mois_levee,levee,0)+J85*(1-part_nominale/(1-decote_tranche))</f>
        <v>688387.096774194</v>
      </c>
      <c r="K97" s="45" t="n">
        <f aca="false">J97+(1-part_nominale)*IF(K$6=mois_levee,levee,0)+K85*(1-part_nominale/(1-decote_tranche))</f>
        <v>688387.096774194</v>
      </c>
      <c r="L97" s="45" t="n">
        <f aca="false">K97+(1-part_nominale)*IF(L$6=mois_levee,levee,0)+L85*(1-part_nominale/(1-decote_tranche))</f>
        <v>688387.096774194</v>
      </c>
      <c r="M97" s="45" t="n">
        <f aca="false">L97+(1-part_nominale)*IF(M$6=mois_levee,levee,0)+M85*(1-part_nominale/(1-decote_tranche))</f>
        <v>688387.096774194</v>
      </c>
      <c r="N97" s="45" t="n">
        <f aca="false">M97+(1-part_nominale)*IF(N$6=mois_levee,levee,0)+N85*(1-part_nominale/(1-decote_tranche))</f>
        <v>688387.096774194</v>
      </c>
      <c r="O97" s="45" t="n">
        <f aca="false">N97+(1-part_nominale)*IF(O$6=mois_levee,levee,0)+O85*(1-part_nominale/(1-decote_tranche))</f>
        <v>688387.096774194</v>
      </c>
      <c r="P97" s="45" t="n">
        <f aca="false">O97+(1-part_nominale)*IF(P$6=mois_levee,levee,0)+P85*(1-part_nominale/(1-decote_tranche))</f>
        <v>688387.096774194</v>
      </c>
      <c r="Q97" s="45" t="n">
        <f aca="false">P97+(1-part_nominale)*IF(Q$6=mois_levee,levee,0)+Q85*(1-part_nominale/(1-decote_tranche))</f>
        <v>688387.096774194</v>
      </c>
      <c r="R97" s="45" t="n">
        <f aca="false">Q97+(1-part_nominale)*IF(R$6=mois_levee,levee,0)+R85*(1-part_nominale/(1-decote_tranche))</f>
        <v>688387.096774194</v>
      </c>
      <c r="S97" s="45" t="n">
        <f aca="false">R97+(1-part_nominale)*IF(S$6=mois_levee,levee,0)+S85*(1-part_nominale/(1-decote_tranche))</f>
        <v>688387.096774194</v>
      </c>
      <c r="T97" s="45" t="n">
        <f aca="false">S97+(1-part_nominale)*IF(T$6=mois_levee,levee,0)+T85*(1-part_nominale/(1-decote_tranche))</f>
        <v>688387.096774194</v>
      </c>
      <c r="U97" s="45" t="n">
        <f aca="false">T97+(1-part_nominale)*IF(U$6=mois_levee,levee,0)+U85*(1-part_nominale/(1-decote_tranche))</f>
        <v>688387.096774194</v>
      </c>
      <c r="V97" s="45" t="n">
        <f aca="false">U97+(1-part_nominale)*IF(V$6=mois_levee,levee,0)+V85*(1-part_nominale/(1-decote_tranche))</f>
        <v>688387.096774194</v>
      </c>
      <c r="W97" s="45" t="n">
        <f aca="false">V97+(1-part_nominale)*IF(W$6=mois_levee,levee,0)+W85*(1-part_nominale/(1-decote_tranche))</f>
        <v>688387.096774194</v>
      </c>
      <c r="X97" s="45" t="n">
        <f aca="false">W97+(1-part_nominale)*IF(X$6=mois_levee,levee,0)+X85*(1-part_nominale/(1-decote_tranche))</f>
        <v>688387.096774194</v>
      </c>
      <c r="Y97" s="45" t="n">
        <f aca="false">X97+(1-part_nominale)*IF(Y$6=mois_levee,levee,0)+Y85*(1-part_nominale/(1-decote_tranche))</f>
        <v>688387.096774194</v>
      </c>
      <c r="Z97" s="45" t="n">
        <f aca="false">Y97+(1-part_nominale)*IF(Z$6=mois_levee,levee,0)+Z85*(1-part_nominale/(1-decote_tranche))</f>
        <v>688387.096774194</v>
      </c>
      <c r="AA97" s="45" t="n">
        <f aca="false">Z97+(1-part_nominale)*IF(AA$6=mois_levee,levee,0)+AA85*(1-part_nominale/(1-decote_tranche))</f>
        <v>688387.096774194</v>
      </c>
      <c r="AB97" s="45" t="n">
        <f aca="false">AA97+(1-part_nominale)*IF(AB$6=mois_levee,levee,0)+AB85*(1-part_nominale/(1-decote_tranche))</f>
        <v>688387.096774194</v>
      </c>
      <c r="AC97" s="45" t="n">
        <f aca="false">AB97+(1-part_nominale)*IF(AC$6=mois_levee,levee,0)+AC85*(1-part_nominale/(1-decote_tranche))</f>
        <v>688387.096774194</v>
      </c>
      <c r="AD97" s="45" t="n">
        <f aca="false">AC97+(1-part_nominale)*IF(AD$6=mois_levee,levee,0)+AD85*(1-part_nominale/(1-decote_tranche))</f>
        <v>688387.096774194</v>
      </c>
      <c r="AE97" s="45" t="n">
        <f aca="false">AD97+(1-part_nominale)*IF(AE$6=mois_levee,levee,0)+AE85*(1-part_nominale/(1-decote_tranche))</f>
        <v>688387.096774194</v>
      </c>
      <c r="AF97" s="45" t="n">
        <f aca="false">AE97+(1-part_nominale)*IF(AF$6=mois_levee,levee,0)+AF85*(1-part_nominale/(1-decote_tranche))</f>
        <v>688387.096774194</v>
      </c>
      <c r="AG97" s="45" t="n">
        <f aca="false">AF97+(1-part_nominale)*IF(AG$6=mois_levee,levee,0)+AG85*(1-part_nominale/(1-decote_tranche))</f>
        <v>688387.096774194</v>
      </c>
      <c r="AH97" s="45" t="n">
        <f aca="false">AG97+(1-part_nominale)*IF(AH$6=mois_levee,levee,0)+AH85*(1-part_nominale/(1-decote_tranche))</f>
        <v>688387.096774194</v>
      </c>
      <c r="AI97" s="45" t="n">
        <f aca="false">AH97+(1-part_nominale)*IF(AI$6=mois_levee,levee,0)+AI85*(1-part_nominale/(1-decote_tranche))</f>
        <v>688387.096774194</v>
      </c>
      <c r="AJ97" s="45" t="n">
        <f aca="false">AI97+(1-part_nominale)*IF(AJ$6=mois_levee,levee,0)+AJ85*(1-part_nominale/(1-decote_tranche))</f>
        <v>688387.096774194</v>
      </c>
      <c r="AK97" s="45" t="n">
        <f aca="false">AJ97+(1-part_nominale)*IF(AK$6=mois_levee,levee,0)+AK85*(1-part_nominale/(1-decote_tranche))</f>
        <v>688387.096774194</v>
      </c>
      <c r="AL97" s="45" t="n">
        <f aca="false">AK97+(1-part_nominale)*IF(AL$6=mois_levee,levee,0)+AL85*(1-part_nominale/(1-decote_tranche))</f>
        <v>688387.096774194</v>
      </c>
      <c r="AM97" s="45" t="n">
        <f aca="false">AL97+(1-part_nominale)*IF(AM$6=mois_levee,levee,0)+AM85*(1-part_nominale/(1-decote_tranche))</f>
        <v>688387.096774194</v>
      </c>
      <c r="AO97" s="45" t="n">
        <f aca="false">INDEX($D97:$AM97,(AO$4-annee_debut)*12+12)</f>
        <v>688387.096774194</v>
      </c>
      <c r="AP97" s="45" t="n">
        <f aca="false">INDEX($D97:$AM97,(AP$4-annee_debut)*12+12)</f>
        <v>688387.096774194</v>
      </c>
      <c r="AQ97" s="45" t="n">
        <f aca="false">INDEX($D97:$AM97,(AQ$4-annee_debut)*12+12)</f>
        <v>688387.096774194</v>
      </c>
    </row>
    <row r="98" customFormat="false" ht="15" hidden="false" customHeight="false" outlineLevel="0" collapsed="false">
      <c r="A98" s="10" t="s">
        <v>336</v>
      </c>
      <c r="B98" s="13" t="s">
        <v>161</v>
      </c>
      <c r="C98" s="50" t="n">
        <v>0</v>
      </c>
      <c r="D98" s="45" t="n">
        <f aca="false">C98+D75</f>
        <v>-22086.3098412698</v>
      </c>
      <c r="E98" s="45" t="n">
        <f aca="false">D98+E75</f>
        <v>-43907.8864825397</v>
      </c>
      <c r="F98" s="45" t="n">
        <f aca="false">E98+F75</f>
        <v>-64434.0924461579</v>
      </c>
      <c r="G98" s="45" t="n">
        <f aca="false">F98+G75</f>
        <v>-88496.8560896976</v>
      </c>
      <c r="H98" s="45" t="n">
        <f aca="false">G98+H75</f>
        <v>-111167.037689376</v>
      </c>
      <c r="I98" s="45" t="n">
        <f aca="false">H98+I75</f>
        <v>-132371.726137574</v>
      </c>
      <c r="J98" s="45" t="n">
        <f aca="false">I98+J75</f>
        <v>-152438.371928581</v>
      </c>
      <c r="K98" s="45" t="n">
        <f aca="false">J98+K75</f>
        <v>-173129.283816573</v>
      </c>
      <c r="L98" s="45" t="n">
        <f aca="false">K98+L75</f>
        <v>-190549.108927862</v>
      </c>
      <c r="M98" s="45" t="n">
        <f aca="false">L98+M75</f>
        <v>-206913.251463182</v>
      </c>
      <c r="N98" s="45" t="n">
        <f aca="false">M98+N75</f>
        <v>-222409.640443459</v>
      </c>
      <c r="O98" s="45" t="n">
        <f aca="false">N98+O75</f>
        <v>-236483.48166902</v>
      </c>
      <c r="P98" s="45" t="n">
        <f aca="false">O98+P75</f>
        <v>-256727.409546447</v>
      </c>
      <c r="Q98" s="45" t="n">
        <f aca="false">P98+Q75</f>
        <v>-278376.051599655</v>
      </c>
      <c r="R98" s="45" t="n">
        <f aca="false">Q98+R75</f>
        <v>-296919.177581879</v>
      </c>
      <c r="S98" s="45" t="n">
        <f aca="false">R98+S75</f>
        <v>-315764.901972798</v>
      </c>
      <c r="T98" s="45" t="n">
        <f aca="false">S98+T75</f>
        <v>-331657.322396575</v>
      </c>
      <c r="U98" s="45" t="n">
        <f aca="false">T98+U75</f>
        <v>-344516.391436987</v>
      </c>
      <c r="V98" s="45" t="n">
        <f aca="false">U98+V75</f>
        <v>-355799.919278548</v>
      </c>
      <c r="W98" s="45" t="n">
        <f aca="false">V98+W75</f>
        <v>-371521.67005696</v>
      </c>
      <c r="X98" s="45" t="n">
        <f aca="false">W98+X75</f>
        <v>-381524.157437434</v>
      </c>
      <c r="Y98" s="45" t="n">
        <f aca="false">X98+Y75</f>
        <v>-390113.442183408</v>
      </c>
      <c r="Z98" s="45" t="n">
        <f aca="false">Y98+Z75</f>
        <v>-397316.429890456</v>
      </c>
      <c r="AA98" s="45" t="n">
        <f aca="false">Z98+AA75</f>
        <v>-403833.658474394</v>
      </c>
      <c r="AB98" s="45" t="n">
        <f aca="false">AA98+AB75</f>
        <v>-417819.122442978</v>
      </c>
      <c r="AC98" s="45" t="n">
        <f aca="false">AB98+AC75</f>
        <v>-431574.818896249</v>
      </c>
      <c r="AD98" s="45" t="n">
        <f aca="false">AC98+AD75</f>
        <v>-444200.143875415</v>
      </c>
      <c r="AE98" s="45" t="n">
        <f aca="false">AD98+AE75</f>
        <v>-453298.437928461</v>
      </c>
      <c r="AF98" s="45" t="n">
        <f aca="false">AE98+AF75</f>
        <v>-458111.307571485</v>
      </c>
      <c r="AG98" s="45" t="n">
        <f aca="false">AF98+AG75</f>
        <v>-458574.1445289</v>
      </c>
      <c r="AH98" s="45" t="n">
        <f aca="false">AG98+AH75</f>
        <v>-457759.979009572</v>
      </c>
      <c r="AI98" s="45" t="n">
        <f aca="false">AH98+AI75</f>
        <v>-467701.906046591</v>
      </c>
      <c r="AJ98" s="45" t="n">
        <f aca="false">AI98+AJ75</f>
        <v>-467281.914712513</v>
      </c>
      <c r="AK98" s="45" t="n">
        <f aca="false">AJ98+AK75</f>
        <v>-465502.530129668</v>
      </c>
      <c r="AL98" s="45" t="n">
        <f aca="false">AK98+AL75</f>
        <v>-462563.794630437</v>
      </c>
      <c r="AM98" s="45" t="n">
        <f aca="false">AL98+AM75</f>
        <v>-455305.501627332</v>
      </c>
      <c r="AO98" s="45" t="n">
        <f aca="false">INDEX($D98:$AM98,(AO$4-annee_debut)*12+12)</f>
        <v>-236483.48166902</v>
      </c>
      <c r="AP98" s="45" t="n">
        <f aca="false">INDEX($D98:$AM98,(AP$4-annee_debut)*12+12)</f>
        <v>-403833.658474394</v>
      </c>
      <c r="AQ98" s="45" t="n">
        <f aca="false">INDEX($D98:$AM98,(AQ$4-annee_debut)*12+12)</f>
        <v>-455305.501627332</v>
      </c>
    </row>
    <row r="99" customFormat="false" ht="15" hidden="false" customHeight="false" outlineLevel="0" collapsed="false">
      <c r="A99" s="10" t="s">
        <v>337</v>
      </c>
      <c r="B99" s="13" t="s">
        <v>161</v>
      </c>
      <c r="C99" s="50" t="n">
        <v>0</v>
      </c>
      <c r="D99" s="45" t="n">
        <f aca="false">D96+D97+D98</f>
        <v>717913.69015873</v>
      </c>
      <c r="E99" s="45" t="n">
        <f aca="false">E96+E97+E98</f>
        <v>696092.11351746</v>
      </c>
      <c r="F99" s="45" t="n">
        <f aca="false">F96+F97+F98</f>
        <v>675565.907553842</v>
      </c>
      <c r="G99" s="45" t="n">
        <f aca="false">G96+G97+G98</f>
        <v>651503.143910302</v>
      </c>
      <c r="H99" s="45" t="n">
        <f aca="false">H96+H97+H98</f>
        <v>628832.962310624</v>
      </c>
      <c r="I99" s="45" t="n">
        <f aca="false">I96+I97+I98</f>
        <v>607628.273862426</v>
      </c>
      <c r="J99" s="45" t="n">
        <f aca="false">J96+J97+J98</f>
        <v>587561.628071419</v>
      </c>
      <c r="K99" s="45" t="n">
        <f aca="false">K96+K97+K98</f>
        <v>566870.716183427</v>
      </c>
      <c r="L99" s="45" t="n">
        <f aca="false">L96+L97+L98</f>
        <v>549450.891072138</v>
      </c>
      <c r="M99" s="45" t="n">
        <f aca="false">M96+M97+M98</f>
        <v>533086.748536818</v>
      </c>
      <c r="N99" s="45" t="n">
        <f aca="false">N96+N97+N98</f>
        <v>517590.359556541</v>
      </c>
      <c r="O99" s="45" t="n">
        <f aca="false">O96+O97+O98</f>
        <v>503516.51833098</v>
      </c>
      <c r="P99" s="45" t="n">
        <f aca="false">P96+P97+P98</f>
        <v>483272.590453553</v>
      </c>
      <c r="Q99" s="45" t="n">
        <f aca="false">Q96+Q97+Q98</f>
        <v>461623.948400345</v>
      </c>
      <c r="R99" s="45" t="n">
        <f aca="false">R96+R97+R98</f>
        <v>443080.822418121</v>
      </c>
      <c r="S99" s="45" t="n">
        <f aca="false">S96+S97+S98</f>
        <v>424235.098027202</v>
      </c>
      <c r="T99" s="45" t="n">
        <f aca="false">T96+T97+T98</f>
        <v>408342.677603425</v>
      </c>
      <c r="U99" s="45" t="n">
        <f aca="false">U96+U97+U98</f>
        <v>395483.608563014</v>
      </c>
      <c r="V99" s="45" t="n">
        <f aca="false">V96+V97+V98</f>
        <v>384200.080721452</v>
      </c>
      <c r="W99" s="45" t="n">
        <f aca="false">W96+W97+W98</f>
        <v>368478.32994304</v>
      </c>
      <c r="X99" s="45" t="n">
        <f aca="false">X96+X97+X98</f>
        <v>358475.842562566</v>
      </c>
      <c r="Y99" s="45" t="n">
        <f aca="false">Y96+Y97+Y98</f>
        <v>349886.557816592</v>
      </c>
      <c r="Z99" s="45" t="n">
        <f aca="false">Z96+Z97+Z98</f>
        <v>342683.570109544</v>
      </c>
      <c r="AA99" s="45" t="n">
        <f aca="false">AA96+AA97+AA98</f>
        <v>336166.341525606</v>
      </c>
      <c r="AB99" s="45" t="n">
        <f aca="false">AB96+AB97+AB98</f>
        <v>322180.877557022</v>
      </c>
      <c r="AC99" s="45" t="n">
        <f aca="false">AC96+AC97+AC98</f>
        <v>308425.181103751</v>
      </c>
      <c r="AD99" s="45" t="n">
        <f aca="false">AD96+AD97+AD98</f>
        <v>295799.856124585</v>
      </c>
      <c r="AE99" s="45" t="n">
        <f aca="false">AE96+AE97+AE98</f>
        <v>286701.562071539</v>
      </c>
      <c r="AF99" s="45" t="n">
        <f aca="false">AF96+AF97+AF98</f>
        <v>281888.692428515</v>
      </c>
      <c r="AG99" s="45" t="n">
        <f aca="false">AG96+AG97+AG98</f>
        <v>281425.8554711</v>
      </c>
      <c r="AH99" s="45" t="n">
        <f aca="false">AH96+AH97+AH98</f>
        <v>282240.020990428</v>
      </c>
      <c r="AI99" s="45" t="n">
        <f aca="false">AI96+AI97+AI98</f>
        <v>272298.093953409</v>
      </c>
      <c r="AJ99" s="45" t="n">
        <f aca="false">AJ96+AJ97+AJ98</f>
        <v>272718.085287487</v>
      </c>
      <c r="AK99" s="45" t="n">
        <f aca="false">AK96+AK97+AK98</f>
        <v>274497.469870333</v>
      </c>
      <c r="AL99" s="45" t="n">
        <f aca="false">AL96+AL97+AL98</f>
        <v>277436.205369563</v>
      </c>
      <c r="AM99" s="45" t="n">
        <f aca="false">AM96+AM97+AM98</f>
        <v>284694.498372668</v>
      </c>
      <c r="AO99" s="45" t="n">
        <f aca="false">INDEX($D99:$AM99,(AO$4-annee_debut)*12+12)</f>
        <v>503516.51833098</v>
      </c>
      <c r="AP99" s="45" t="n">
        <f aca="false">INDEX($D99:$AM99,(AP$4-annee_debut)*12+12)</f>
        <v>336166.341525606</v>
      </c>
      <c r="AQ99" s="45" t="n">
        <f aca="false">INDEX($D99:$AM99,(AQ$4-annee_debut)*12+12)</f>
        <v>284694.498372668</v>
      </c>
    </row>
    <row r="100" customFormat="false" ht="15" hidden="false" customHeight="false" outlineLevel="0" collapsed="false">
      <c r="A100" s="10" t="s">
        <v>338</v>
      </c>
      <c r="B100" s="13" t="s">
        <v>161</v>
      </c>
      <c r="C100" s="50" t="n">
        <v>0</v>
      </c>
      <c r="D100" s="45" t="n">
        <f aca="false">C100+IF(D$6=mois_apport,comptes_courants,0)</f>
        <v>60000</v>
      </c>
      <c r="E100" s="45" t="n">
        <f aca="false">D100+IF(E$6=mois_apport,comptes_courants,0)</f>
        <v>60000</v>
      </c>
      <c r="F100" s="45" t="n">
        <f aca="false">E100+IF(F$6=mois_apport,comptes_courants,0)</f>
        <v>60000</v>
      </c>
      <c r="G100" s="45" t="n">
        <f aca="false">F100+IF(G$6=mois_apport,comptes_courants,0)</f>
        <v>60000</v>
      </c>
      <c r="H100" s="45" t="n">
        <f aca="false">G100+IF(H$6=mois_apport,comptes_courants,0)</f>
        <v>60000</v>
      </c>
      <c r="I100" s="45" t="n">
        <f aca="false">H100+IF(I$6=mois_apport,comptes_courants,0)</f>
        <v>60000</v>
      </c>
      <c r="J100" s="45" t="n">
        <f aca="false">I100+IF(J$6=mois_apport,comptes_courants,0)</f>
        <v>60000</v>
      </c>
      <c r="K100" s="45" t="n">
        <f aca="false">J100+IF(K$6=mois_apport,comptes_courants,0)</f>
        <v>60000</v>
      </c>
      <c r="L100" s="45" t="n">
        <f aca="false">K100+IF(L$6=mois_apport,comptes_courants,0)</f>
        <v>60000</v>
      </c>
      <c r="M100" s="45" t="n">
        <f aca="false">L100+IF(M$6=mois_apport,comptes_courants,0)</f>
        <v>60000</v>
      </c>
      <c r="N100" s="45" t="n">
        <f aca="false">M100+IF(N$6=mois_apport,comptes_courants,0)</f>
        <v>60000</v>
      </c>
      <c r="O100" s="45" t="n">
        <f aca="false">N100+IF(O$6=mois_apport,comptes_courants,0)</f>
        <v>60000</v>
      </c>
      <c r="P100" s="45" t="n">
        <f aca="false">O100+IF(P$6=mois_apport,comptes_courants,0)</f>
        <v>60000</v>
      </c>
      <c r="Q100" s="45" t="n">
        <f aca="false">P100+IF(Q$6=mois_apport,comptes_courants,0)</f>
        <v>60000</v>
      </c>
      <c r="R100" s="45" t="n">
        <f aca="false">Q100+IF(R$6=mois_apport,comptes_courants,0)</f>
        <v>60000</v>
      </c>
      <c r="S100" s="45" t="n">
        <f aca="false">R100+IF(S$6=mois_apport,comptes_courants,0)</f>
        <v>60000</v>
      </c>
      <c r="T100" s="45" t="n">
        <f aca="false">S100+IF(T$6=mois_apport,comptes_courants,0)</f>
        <v>60000</v>
      </c>
      <c r="U100" s="45" t="n">
        <f aca="false">T100+IF(U$6=mois_apport,comptes_courants,0)</f>
        <v>60000</v>
      </c>
      <c r="V100" s="45" t="n">
        <f aca="false">U100+IF(V$6=mois_apport,comptes_courants,0)</f>
        <v>60000</v>
      </c>
      <c r="W100" s="45" t="n">
        <f aca="false">V100+IF(W$6=mois_apport,comptes_courants,0)</f>
        <v>60000</v>
      </c>
      <c r="X100" s="45" t="n">
        <f aca="false">W100+IF(X$6=mois_apport,comptes_courants,0)</f>
        <v>60000</v>
      </c>
      <c r="Y100" s="45" t="n">
        <f aca="false">X100+IF(Y$6=mois_apport,comptes_courants,0)</f>
        <v>60000</v>
      </c>
      <c r="Z100" s="45" t="n">
        <f aca="false">Y100+IF(Z$6=mois_apport,comptes_courants,0)</f>
        <v>60000</v>
      </c>
      <c r="AA100" s="45" t="n">
        <f aca="false">Z100+IF(AA$6=mois_apport,comptes_courants,0)</f>
        <v>60000</v>
      </c>
      <c r="AB100" s="45" t="n">
        <f aca="false">AA100+IF(AB$6=mois_apport,comptes_courants,0)</f>
        <v>60000</v>
      </c>
      <c r="AC100" s="45" t="n">
        <f aca="false">AB100+IF(AC$6=mois_apport,comptes_courants,0)</f>
        <v>60000</v>
      </c>
      <c r="AD100" s="45" t="n">
        <f aca="false">AC100+IF(AD$6=mois_apport,comptes_courants,0)</f>
        <v>60000</v>
      </c>
      <c r="AE100" s="45" t="n">
        <f aca="false">AD100+IF(AE$6=mois_apport,comptes_courants,0)</f>
        <v>60000</v>
      </c>
      <c r="AF100" s="45" t="n">
        <f aca="false">AE100+IF(AF$6=mois_apport,comptes_courants,0)</f>
        <v>60000</v>
      </c>
      <c r="AG100" s="45" t="n">
        <f aca="false">AF100+IF(AG$6=mois_apport,comptes_courants,0)</f>
        <v>60000</v>
      </c>
      <c r="AH100" s="45" t="n">
        <f aca="false">AG100+IF(AH$6=mois_apport,comptes_courants,0)</f>
        <v>60000</v>
      </c>
      <c r="AI100" s="45" t="n">
        <f aca="false">AH100+IF(AI$6=mois_apport,comptes_courants,0)</f>
        <v>60000</v>
      </c>
      <c r="AJ100" s="45" t="n">
        <f aca="false">AI100+IF(AJ$6=mois_apport,comptes_courants,0)</f>
        <v>60000</v>
      </c>
      <c r="AK100" s="45" t="n">
        <f aca="false">AJ100+IF(AK$6=mois_apport,comptes_courants,0)</f>
        <v>60000</v>
      </c>
      <c r="AL100" s="45" t="n">
        <f aca="false">AK100+IF(AL$6=mois_apport,comptes_courants,0)</f>
        <v>60000</v>
      </c>
      <c r="AM100" s="45" t="n">
        <f aca="false">AL100+IF(AM$6=mois_apport,comptes_courants,0)</f>
        <v>60000</v>
      </c>
      <c r="AO100" s="45" t="n">
        <f aca="false">INDEX($D100:$AM100,(AO$4-annee_debut)*12+12)</f>
        <v>60000</v>
      </c>
      <c r="AP100" s="45" t="n">
        <f aca="false">INDEX($D100:$AM100,(AP$4-annee_debut)*12+12)</f>
        <v>60000</v>
      </c>
      <c r="AQ100" s="45" t="n">
        <f aca="false">INDEX($D100:$AM100,(AQ$4-annee_debut)*12+12)</f>
        <v>60000</v>
      </c>
    </row>
    <row r="101" customFormat="false" ht="15" hidden="false" customHeight="false" outlineLevel="0" collapsed="false">
      <c r="A101" s="10" t="s">
        <v>439</v>
      </c>
      <c r="B101" s="13" t="s">
        <v>161</v>
      </c>
      <c r="C101" s="61" t="n">
        <v>0</v>
      </c>
      <c r="D101" s="26" t="n">
        <f aca="false">ROUND(D94+D77+D88-(D99+D100+D70+D78),2)</f>
        <v>0</v>
      </c>
      <c r="E101" s="26" t="n">
        <f aca="false">ROUND(E94+E77+E88-(E99+E100+E70+E78),2)</f>
        <v>0</v>
      </c>
      <c r="F101" s="26" t="n">
        <f aca="false">ROUND(F94+F77+F88-(F99+F100+F70+F78),2)</f>
        <v>0</v>
      </c>
      <c r="G101" s="26" t="n">
        <f aca="false">ROUND(G94+G77+G88-(G99+G100+G70+G78),2)</f>
        <v>0</v>
      </c>
      <c r="H101" s="26" t="n">
        <f aca="false">ROUND(H94+H77+H88-(H99+H100+H70+H78),2)</f>
        <v>0</v>
      </c>
      <c r="I101" s="26" t="n">
        <f aca="false">ROUND(I94+I77+I88-(I99+I100+I70+I78),2)</f>
        <v>0</v>
      </c>
      <c r="J101" s="26" t="n">
        <f aca="false">ROUND(J94+J77+J88-(J99+J100+J70+J78),2)</f>
        <v>0</v>
      </c>
      <c r="K101" s="26" t="n">
        <f aca="false">ROUND(K94+K77+K88-(K99+K100+K70+K78),2)</f>
        <v>0</v>
      </c>
      <c r="L101" s="26" t="n">
        <f aca="false">ROUND(L94+L77+L88-(L99+L100+L70+L78),2)</f>
        <v>0</v>
      </c>
      <c r="M101" s="26" t="n">
        <f aca="false">ROUND(M94+M77+M88-(M99+M100+M70+M78),2)</f>
        <v>0</v>
      </c>
      <c r="N101" s="26" t="n">
        <f aca="false">ROUND(N94+N77+N88-(N99+N100+N70+N78),2)</f>
        <v>0</v>
      </c>
      <c r="O101" s="26" t="n">
        <f aca="false">ROUND(O94+O77+O88-(O99+O100+O70+O78),2)</f>
        <v>0</v>
      </c>
      <c r="P101" s="26" t="n">
        <f aca="false">ROUND(P94+P77+P88-(P99+P100+P70+P78),2)</f>
        <v>0</v>
      </c>
      <c r="Q101" s="26" t="n">
        <f aca="false">ROUND(Q94+Q77+Q88-(Q99+Q100+Q70+Q78),2)</f>
        <v>0</v>
      </c>
      <c r="R101" s="26" t="n">
        <f aca="false">ROUND(R94+R77+R88-(R99+R100+R70+R78),2)</f>
        <v>0</v>
      </c>
      <c r="S101" s="26" t="n">
        <f aca="false">ROUND(S94+S77+S88-(S99+S100+S70+S78),2)</f>
        <v>0</v>
      </c>
      <c r="T101" s="26" t="n">
        <f aca="false">ROUND(T94+T77+T88-(T99+T100+T70+T78),2)</f>
        <v>0</v>
      </c>
      <c r="U101" s="26" t="n">
        <f aca="false">ROUND(U94+U77+U88-(U99+U100+U70+U78),2)</f>
        <v>0</v>
      </c>
      <c r="V101" s="26" t="n">
        <f aca="false">ROUND(V94+V77+V88-(V99+V100+V70+V78),2)</f>
        <v>0</v>
      </c>
      <c r="W101" s="26" t="n">
        <f aca="false">ROUND(W94+W77+W88-(W99+W100+W70+W78),2)</f>
        <v>0</v>
      </c>
      <c r="X101" s="26" t="n">
        <f aca="false">ROUND(X94+X77+X88-(X99+X100+X70+X78),2)</f>
        <v>0</v>
      </c>
      <c r="Y101" s="26" t="n">
        <f aca="false">ROUND(Y94+Y77+Y88-(Y99+Y100+Y70+Y78),2)</f>
        <v>0</v>
      </c>
      <c r="Z101" s="26" t="n">
        <f aca="false">ROUND(Z94+Z77+Z88-(Z99+Z100+Z70+Z78),2)</f>
        <v>0</v>
      </c>
      <c r="AA101" s="26" t="n">
        <f aca="false">ROUND(AA94+AA77+AA88-(AA99+AA100+AA70+AA78),2)</f>
        <v>0</v>
      </c>
      <c r="AB101" s="26" t="n">
        <f aca="false">ROUND(AB94+AB77+AB88-(AB99+AB100+AB70+AB78),2)</f>
        <v>0</v>
      </c>
      <c r="AC101" s="26" t="n">
        <f aca="false">ROUND(AC94+AC77+AC88-(AC99+AC100+AC70+AC78),2)</f>
        <v>0</v>
      </c>
      <c r="AD101" s="26" t="n">
        <f aca="false">ROUND(AD94+AD77+AD88-(AD99+AD100+AD70+AD78),2)</f>
        <v>0</v>
      </c>
      <c r="AE101" s="26" t="n">
        <f aca="false">ROUND(AE94+AE77+AE88-(AE99+AE100+AE70+AE78),2)</f>
        <v>0</v>
      </c>
      <c r="AF101" s="26" t="n">
        <f aca="false">ROUND(AF94+AF77+AF88-(AF99+AF100+AF70+AF78),2)</f>
        <v>0</v>
      </c>
      <c r="AG101" s="26" t="n">
        <f aca="false">ROUND(AG94+AG77+AG88-(AG99+AG100+AG70+AG78),2)</f>
        <v>0</v>
      </c>
      <c r="AH101" s="26" t="n">
        <f aca="false">ROUND(AH94+AH77+AH88-(AH99+AH100+AH70+AH78),2)</f>
        <v>0</v>
      </c>
      <c r="AI101" s="26" t="n">
        <f aca="false">ROUND(AI94+AI77+AI88-(AI99+AI100+AI70+AI78),2)</f>
        <v>0</v>
      </c>
      <c r="AJ101" s="26" t="n">
        <f aca="false">ROUND(AJ94+AJ77+AJ88-(AJ99+AJ100+AJ70+AJ78),2)</f>
        <v>0</v>
      </c>
      <c r="AK101" s="26" t="n">
        <f aca="false">ROUND(AK94+AK77+AK88-(AK99+AK100+AK70+AK78),2)</f>
        <v>0</v>
      </c>
      <c r="AL101" s="26" t="n">
        <f aca="false">ROUND(AL94+AL77+AL88-(AL99+AL100+AL70+AL78),2)</f>
        <v>0</v>
      </c>
      <c r="AM101" s="26" t="n">
        <f aca="false">ROUND(AM94+AM77+AM88-(AM99+AM100+AM70+AM78),2)</f>
        <v>0</v>
      </c>
      <c r="AO101" s="26" t="n">
        <f aca="false">INDEX($D101:$AM101,(AO$4-annee_debut)*12+12)</f>
        <v>0</v>
      </c>
      <c r="AP101" s="26" t="n">
        <f aca="false">INDEX($D101:$AM101,(AP$4-annee_debut)*12+12)</f>
        <v>0</v>
      </c>
      <c r="AQ101" s="26" t="n">
        <f aca="false">INDEX($D101:$AM101,(AQ$4-annee_debut)*12+12)</f>
        <v>0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B4BA"/>
    <pageSetUpPr fitToPage="false"/>
  </sheetPr>
  <dimension ref="A1:AR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39" min="4" style="0" width="10.51"/>
    <col collapsed="false" customWidth="true" hidden="false" outlineLevel="0" max="40" min="40" style="0" width="3"/>
    <col collapsed="false" customWidth="true" hidden="false" outlineLevel="0" max="43" min="41" style="0" width="12.5"/>
  </cols>
  <sheetData>
    <row r="1" customFormat="false" ht="17.35" hidden="false" customHeight="false" outlineLevel="0" collapsed="false">
      <c r="A1" s="1" t="s">
        <v>441</v>
      </c>
    </row>
    <row r="2" customFormat="false" ht="15" hidden="false" customHeight="false" outlineLevel="0" collapsed="false">
      <c r="A2" s="2" t="s">
        <v>379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customFormat="false" ht="15" hidden="false" customHeight="false" outlineLevel="0" collapsed="false">
      <c r="A4" s="13" t="s">
        <v>380</v>
      </c>
      <c r="D4" s="49" t="n">
        <f aca="false">annee_debut+INT((D$6-1)/12)</f>
        <v>2027</v>
      </c>
      <c r="E4" s="49" t="n">
        <f aca="false">annee_debut+INT((E$6-1)/12)</f>
        <v>2027</v>
      </c>
      <c r="F4" s="49" t="n">
        <f aca="false">annee_debut+INT((F$6-1)/12)</f>
        <v>2027</v>
      </c>
      <c r="G4" s="49" t="n">
        <f aca="false">annee_debut+INT((G$6-1)/12)</f>
        <v>2027</v>
      </c>
      <c r="H4" s="49" t="n">
        <f aca="false">annee_debut+INT((H$6-1)/12)</f>
        <v>2027</v>
      </c>
      <c r="I4" s="49" t="n">
        <f aca="false">annee_debut+INT((I$6-1)/12)</f>
        <v>2027</v>
      </c>
      <c r="J4" s="49" t="n">
        <f aca="false">annee_debut+INT((J$6-1)/12)</f>
        <v>2027</v>
      </c>
      <c r="K4" s="49" t="n">
        <f aca="false">annee_debut+INT((K$6-1)/12)</f>
        <v>2027</v>
      </c>
      <c r="L4" s="49" t="n">
        <f aca="false">annee_debut+INT((L$6-1)/12)</f>
        <v>2027</v>
      </c>
      <c r="M4" s="49" t="n">
        <f aca="false">annee_debut+INT((M$6-1)/12)</f>
        <v>2027</v>
      </c>
      <c r="N4" s="49" t="n">
        <f aca="false">annee_debut+INT((N$6-1)/12)</f>
        <v>2027</v>
      </c>
      <c r="O4" s="49" t="n">
        <f aca="false">annee_debut+INT((O$6-1)/12)</f>
        <v>2027</v>
      </c>
      <c r="P4" s="49" t="n">
        <f aca="false">annee_debut+INT((P$6-1)/12)</f>
        <v>2028</v>
      </c>
      <c r="Q4" s="49" t="n">
        <f aca="false">annee_debut+INT((Q$6-1)/12)</f>
        <v>2028</v>
      </c>
      <c r="R4" s="49" t="n">
        <f aca="false">annee_debut+INT((R$6-1)/12)</f>
        <v>2028</v>
      </c>
      <c r="S4" s="49" t="n">
        <f aca="false">annee_debut+INT((S$6-1)/12)</f>
        <v>2028</v>
      </c>
      <c r="T4" s="49" t="n">
        <f aca="false">annee_debut+INT((T$6-1)/12)</f>
        <v>2028</v>
      </c>
      <c r="U4" s="49" t="n">
        <f aca="false">annee_debut+INT((U$6-1)/12)</f>
        <v>2028</v>
      </c>
      <c r="V4" s="49" t="n">
        <f aca="false">annee_debut+INT((V$6-1)/12)</f>
        <v>2028</v>
      </c>
      <c r="W4" s="49" t="n">
        <f aca="false">annee_debut+INT((W$6-1)/12)</f>
        <v>2028</v>
      </c>
      <c r="X4" s="49" t="n">
        <f aca="false">annee_debut+INT((X$6-1)/12)</f>
        <v>2028</v>
      </c>
      <c r="Y4" s="49" t="n">
        <f aca="false">annee_debut+INT((Y$6-1)/12)</f>
        <v>2028</v>
      </c>
      <c r="Z4" s="49" t="n">
        <f aca="false">annee_debut+INT((Z$6-1)/12)</f>
        <v>2028</v>
      </c>
      <c r="AA4" s="49" t="n">
        <f aca="false">annee_debut+INT((AA$6-1)/12)</f>
        <v>2028</v>
      </c>
      <c r="AB4" s="49" t="n">
        <f aca="false">annee_debut+INT((AB$6-1)/12)</f>
        <v>2029</v>
      </c>
      <c r="AC4" s="49" t="n">
        <f aca="false">annee_debut+INT((AC$6-1)/12)</f>
        <v>2029</v>
      </c>
      <c r="AD4" s="49" t="n">
        <f aca="false">annee_debut+INT((AD$6-1)/12)</f>
        <v>2029</v>
      </c>
      <c r="AE4" s="49" t="n">
        <f aca="false">annee_debut+INT((AE$6-1)/12)</f>
        <v>2029</v>
      </c>
      <c r="AF4" s="49" t="n">
        <f aca="false">annee_debut+INT((AF$6-1)/12)</f>
        <v>2029</v>
      </c>
      <c r="AG4" s="49" t="n">
        <f aca="false">annee_debut+INT((AG$6-1)/12)</f>
        <v>2029</v>
      </c>
      <c r="AH4" s="49" t="n">
        <f aca="false">annee_debut+INT((AH$6-1)/12)</f>
        <v>2029</v>
      </c>
      <c r="AI4" s="49" t="n">
        <f aca="false">annee_debut+INT((AI$6-1)/12)</f>
        <v>2029</v>
      </c>
      <c r="AJ4" s="49" t="n">
        <f aca="false">annee_debut+INT((AJ$6-1)/12)</f>
        <v>2029</v>
      </c>
      <c r="AK4" s="49" t="n">
        <f aca="false">annee_debut+INT((AK$6-1)/12)</f>
        <v>2029</v>
      </c>
      <c r="AL4" s="49" t="n">
        <f aca="false">annee_debut+INT((AL$6-1)/12)</f>
        <v>2029</v>
      </c>
      <c r="AM4" s="49" t="n">
        <f aca="false">annee_debut+INT((AM$6-1)/12)</f>
        <v>2029</v>
      </c>
      <c r="AO4" s="49" t="n">
        <f aca="false">annee_debut+0</f>
        <v>2027</v>
      </c>
      <c r="AP4" s="49" t="n">
        <f aca="false">annee_debut+1</f>
        <v>2028</v>
      </c>
      <c r="AQ4" s="49" t="n">
        <f aca="false">annee_debut+2</f>
        <v>2029</v>
      </c>
    </row>
    <row r="5" customFormat="false" ht="15" hidden="false" customHeight="false" outlineLevel="0" collapsed="false">
      <c r="A5" s="13" t="s">
        <v>381</v>
      </c>
      <c r="D5" s="13" t="n">
        <f aca="false">MOD(D$6-1,12)+1</f>
        <v>1</v>
      </c>
      <c r="E5" s="13" t="n">
        <f aca="false">MOD(E$6-1,12)+1</f>
        <v>2</v>
      </c>
      <c r="F5" s="13" t="n">
        <f aca="false">MOD(F$6-1,12)+1</f>
        <v>3</v>
      </c>
      <c r="G5" s="13" t="n">
        <f aca="false">MOD(G$6-1,12)+1</f>
        <v>4</v>
      </c>
      <c r="H5" s="13" t="n">
        <f aca="false">MOD(H$6-1,12)+1</f>
        <v>5</v>
      </c>
      <c r="I5" s="13" t="n">
        <f aca="false">MOD(I$6-1,12)+1</f>
        <v>6</v>
      </c>
      <c r="J5" s="13" t="n">
        <f aca="false">MOD(J$6-1,12)+1</f>
        <v>7</v>
      </c>
      <c r="K5" s="13" t="n">
        <f aca="false">MOD(K$6-1,12)+1</f>
        <v>8</v>
      </c>
      <c r="L5" s="13" t="n">
        <f aca="false">MOD(L$6-1,12)+1</f>
        <v>9</v>
      </c>
      <c r="M5" s="13" t="n">
        <f aca="false">MOD(M$6-1,12)+1</f>
        <v>10</v>
      </c>
      <c r="N5" s="13" t="n">
        <f aca="false">MOD(N$6-1,12)+1</f>
        <v>11</v>
      </c>
      <c r="O5" s="13" t="n">
        <f aca="false">MOD(O$6-1,12)+1</f>
        <v>12</v>
      </c>
      <c r="P5" s="13" t="n">
        <f aca="false">MOD(P$6-1,12)+1</f>
        <v>1</v>
      </c>
      <c r="Q5" s="13" t="n">
        <f aca="false">MOD(Q$6-1,12)+1</f>
        <v>2</v>
      </c>
      <c r="R5" s="13" t="n">
        <f aca="false">MOD(R$6-1,12)+1</f>
        <v>3</v>
      </c>
      <c r="S5" s="13" t="n">
        <f aca="false">MOD(S$6-1,12)+1</f>
        <v>4</v>
      </c>
      <c r="T5" s="13" t="n">
        <f aca="false">MOD(T$6-1,12)+1</f>
        <v>5</v>
      </c>
      <c r="U5" s="13" t="n">
        <f aca="false">MOD(U$6-1,12)+1</f>
        <v>6</v>
      </c>
      <c r="V5" s="13" t="n">
        <f aca="false">MOD(V$6-1,12)+1</f>
        <v>7</v>
      </c>
      <c r="W5" s="13" t="n">
        <f aca="false">MOD(W$6-1,12)+1</f>
        <v>8</v>
      </c>
      <c r="X5" s="13" t="n">
        <f aca="false">MOD(X$6-1,12)+1</f>
        <v>9</v>
      </c>
      <c r="Y5" s="13" t="n">
        <f aca="false">MOD(Y$6-1,12)+1</f>
        <v>10</v>
      </c>
      <c r="Z5" s="13" t="n">
        <f aca="false">MOD(Z$6-1,12)+1</f>
        <v>11</v>
      </c>
      <c r="AA5" s="13" t="n">
        <f aca="false">MOD(AA$6-1,12)+1</f>
        <v>12</v>
      </c>
      <c r="AB5" s="13" t="n">
        <f aca="false">MOD(AB$6-1,12)+1</f>
        <v>1</v>
      </c>
      <c r="AC5" s="13" t="n">
        <f aca="false">MOD(AC$6-1,12)+1</f>
        <v>2</v>
      </c>
      <c r="AD5" s="13" t="n">
        <f aca="false">MOD(AD$6-1,12)+1</f>
        <v>3</v>
      </c>
      <c r="AE5" s="13" t="n">
        <f aca="false">MOD(AE$6-1,12)+1</f>
        <v>4</v>
      </c>
      <c r="AF5" s="13" t="n">
        <f aca="false">MOD(AF$6-1,12)+1</f>
        <v>5</v>
      </c>
      <c r="AG5" s="13" t="n">
        <f aca="false">MOD(AG$6-1,12)+1</f>
        <v>6</v>
      </c>
      <c r="AH5" s="13" t="n">
        <f aca="false">MOD(AH$6-1,12)+1</f>
        <v>7</v>
      </c>
      <c r="AI5" s="13" t="n">
        <f aca="false">MOD(AI$6-1,12)+1</f>
        <v>8</v>
      </c>
      <c r="AJ5" s="13" t="n">
        <f aca="false">MOD(AJ$6-1,12)+1</f>
        <v>9</v>
      </c>
      <c r="AK5" s="13" t="n">
        <f aca="false">MOD(AK$6-1,12)+1</f>
        <v>10</v>
      </c>
      <c r="AL5" s="13" t="n">
        <f aca="false">MOD(AL$6-1,12)+1</f>
        <v>11</v>
      </c>
      <c r="AM5" s="13" t="n">
        <f aca="false">MOD(AM$6-1,12)+1</f>
        <v>12</v>
      </c>
    </row>
    <row r="6" customFormat="false" ht="15" hidden="false" customHeight="false" outlineLevel="0" collapsed="false">
      <c r="A6" s="13" t="s">
        <v>382</v>
      </c>
      <c r="D6" s="13" t="n">
        <v>1</v>
      </c>
      <c r="E6" s="13" t="n">
        <v>2</v>
      </c>
      <c r="F6" s="13" t="n">
        <v>3</v>
      </c>
      <c r="G6" s="13" t="n">
        <v>4</v>
      </c>
      <c r="H6" s="13" t="n">
        <v>5</v>
      </c>
      <c r="I6" s="13" t="n">
        <v>6</v>
      </c>
      <c r="J6" s="13" t="n">
        <v>7</v>
      </c>
      <c r="K6" s="13" t="n">
        <v>8</v>
      </c>
      <c r="L6" s="13" t="n">
        <v>9</v>
      </c>
      <c r="M6" s="13" t="n">
        <v>10</v>
      </c>
      <c r="N6" s="13" t="n">
        <v>11</v>
      </c>
      <c r="O6" s="13" t="n">
        <v>12</v>
      </c>
      <c r="P6" s="13" t="n">
        <v>13</v>
      </c>
      <c r="Q6" s="13" t="n">
        <v>14</v>
      </c>
      <c r="R6" s="13" t="n">
        <v>15</v>
      </c>
      <c r="S6" s="13" t="n">
        <v>16</v>
      </c>
      <c r="T6" s="13" t="n">
        <v>17</v>
      </c>
      <c r="U6" s="13" t="n">
        <v>18</v>
      </c>
      <c r="V6" s="13" t="n">
        <v>19</v>
      </c>
      <c r="W6" s="13" t="n">
        <v>20</v>
      </c>
      <c r="X6" s="13" t="n">
        <v>21</v>
      </c>
      <c r="Y6" s="13" t="n">
        <v>22</v>
      </c>
      <c r="Z6" s="13" t="n">
        <v>23</v>
      </c>
      <c r="AA6" s="13" t="n">
        <v>24</v>
      </c>
      <c r="AB6" s="13" t="n">
        <v>25</v>
      </c>
      <c r="AC6" s="13" t="n">
        <v>26</v>
      </c>
      <c r="AD6" s="13" t="n">
        <v>27</v>
      </c>
      <c r="AE6" s="13" t="n">
        <v>28</v>
      </c>
      <c r="AF6" s="13" t="n">
        <v>29</v>
      </c>
      <c r="AG6" s="13" t="n">
        <v>30</v>
      </c>
      <c r="AH6" s="13" t="n">
        <v>31</v>
      </c>
      <c r="AI6" s="13" t="n">
        <v>32</v>
      </c>
      <c r="AJ6" s="13" t="n">
        <v>33</v>
      </c>
      <c r="AK6" s="13" t="n">
        <v>34</v>
      </c>
      <c r="AL6" s="13" t="n">
        <v>35</v>
      </c>
      <c r="AM6" s="13" t="n">
        <v>36</v>
      </c>
    </row>
    <row r="7" customFormat="false" ht="15" hidden="false" customHeight="false" outlineLevel="0" collapsed="false">
      <c r="A7" s="14" t="s">
        <v>383</v>
      </c>
      <c r="B7" s="14" t="s">
        <v>52</v>
      </c>
      <c r="C7" s="43" t="s">
        <v>384</v>
      </c>
      <c r="D7" s="43" t="str">
        <f aca="false">CHOOSE(D$5,"janv.","févr.","mars","avr.","mai","juin","juil.","août","sept.","oct.","nov.","déc.")&amp;" "&amp;D$4</f>
        <v>janv. 2027</v>
      </c>
      <c r="E7" s="43" t="str">
        <f aca="false">CHOOSE(E$5,"janv.","févr.","mars","avr.","mai","juin","juil.","août","sept.","oct.","nov.","déc.")&amp;" "&amp;E$4</f>
        <v>févr. 2027</v>
      </c>
      <c r="F7" s="43" t="str">
        <f aca="false">CHOOSE(F$5,"janv.","févr.","mars","avr.","mai","juin","juil.","août","sept.","oct.","nov.","déc.")&amp;" "&amp;F$4</f>
        <v>mars 2027</v>
      </c>
      <c r="G7" s="43" t="str">
        <f aca="false">CHOOSE(G$5,"janv.","févr.","mars","avr.","mai","juin","juil.","août","sept.","oct.","nov.","déc.")&amp;" "&amp;G$4</f>
        <v>avr. 2027</v>
      </c>
      <c r="H7" s="43" t="str">
        <f aca="false">CHOOSE(H$5,"janv.","févr.","mars","avr.","mai","juin","juil.","août","sept.","oct.","nov.","déc.")&amp;" "&amp;H$4</f>
        <v>mai 2027</v>
      </c>
      <c r="I7" s="43" t="str">
        <f aca="false">CHOOSE(I$5,"janv.","févr.","mars","avr.","mai","juin","juil.","août","sept.","oct.","nov.","déc.")&amp;" "&amp;I$4</f>
        <v>juin 2027</v>
      </c>
      <c r="J7" s="43" t="str">
        <f aca="false">CHOOSE(J$5,"janv.","févr.","mars","avr.","mai","juin","juil.","août","sept.","oct.","nov.","déc.")&amp;" "&amp;J$4</f>
        <v>juil. 2027</v>
      </c>
      <c r="K7" s="43" t="str">
        <f aca="false">CHOOSE(K$5,"janv.","févr.","mars","avr.","mai","juin","juil.","août","sept.","oct.","nov.","déc.")&amp;" "&amp;K$4</f>
        <v>août 2027</v>
      </c>
      <c r="L7" s="43" t="str">
        <f aca="false">CHOOSE(L$5,"janv.","févr.","mars","avr.","mai","juin","juil.","août","sept.","oct.","nov.","déc.")&amp;" "&amp;L$4</f>
        <v>sept. 2027</v>
      </c>
      <c r="M7" s="43" t="str">
        <f aca="false">CHOOSE(M$5,"janv.","févr.","mars","avr.","mai","juin","juil.","août","sept.","oct.","nov.","déc.")&amp;" "&amp;M$4</f>
        <v>oct. 2027</v>
      </c>
      <c r="N7" s="43" t="str">
        <f aca="false">CHOOSE(N$5,"janv.","févr.","mars","avr.","mai","juin","juil.","août","sept.","oct.","nov.","déc.")&amp;" "&amp;N$4</f>
        <v>nov. 2027</v>
      </c>
      <c r="O7" s="43" t="str">
        <f aca="false">CHOOSE(O$5,"janv.","févr.","mars","avr.","mai","juin","juil.","août","sept.","oct.","nov.","déc.")&amp;" "&amp;O$4</f>
        <v>déc. 2027</v>
      </c>
      <c r="P7" s="43" t="str">
        <f aca="false">CHOOSE(P$5,"janv.","févr.","mars","avr.","mai","juin","juil.","août","sept.","oct.","nov.","déc.")&amp;" "&amp;P$4</f>
        <v>janv. 2028</v>
      </c>
      <c r="Q7" s="43" t="str">
        <f aca="false">CHOOSE(Q$5,"janv.","févr.","mars","avr.","mai","juin","juil.","août","sept.","oct.","nov.","déc.")&amp;" "&amp;Q$4</f>
        <v>févr. 2028</v>
      </c>
      <c r="R7" s="43" t="str">
        <f aca="false">CHOOSE(R$5,"janv.","févr.","mars","avr.","mai","juin","juil.","août","sept.","oct.","nov.","déc.")&amp;" "&amp;R$4</f>
        <v>mars 2028</v>
      </c>
      <c r="S7" s="43" t="str">
        <f aca="false">CHOOSE(S$5,"janv.","févr.","mars","avr.","mai","juin","juil.","août","sept.","oct.","nov.","déc.")&amp;" "&amp;S$4</f>
        <v>avr. 2028</v>
      </c>
      <c r="T7" s="43" t="str">
        <f aca="false">CHOOSE(T$5,"janv.","févr.","mars","avr.","mai","juin","juil.","août","sept.","oct.","nov.","déc.")&amp;" "&amp;T$4</f>
        <v>mai 2028</v>
      </c>
      <c r="U7" s="43" t="str">
        <f aca="false">CHOOSE(U$5,"janv.","févr.","mars","avr.","mai","juin","juil.","août","sept.","oct.","nov.","déc.")&amp;" "&amp;U$4</f>
        <v>juin 2028</v>
      </c>
      <c r="V7" s="43" t="str">
        <f aca="false">CHOOSE(V$5,"janv.","févr.","mars","avr.","mai","juin","juil.","août","sept.","oct.","nov.","déc.")&amp;" "&amp;V$4</f>
        <v>juil. 2028</v>
      </c>
      <c r="W7" s="43" t="str">
        <f aca="false">CHOOSE(W$5,"janv.","févr.","mars","avr.","mai","juin","juil.","août","sept.","oct.","nov.","déc.")&amp;" "&amp;W$4</f>
        <v>août 2028</v>
      </c>
      <c r="X7" s="43" t="str">
        <f aca="false">CHOOSE(X$5,"janv.","févr.","mars","avr.","mai","juin","juil.","août","sept.","oct.","nov.","déc.")&amp;" "&amp;X$4</f>
        <v>sept. 2028</v>
      </c>
      <c r="Y7" s="43" t="str">
        <f aca="false">CHOOSE(Y$5,"janv.","févr.","mars","avr.","mai","juin","juil.","août","sept.","oct.","nov.","déc.")&amp;" "&amp;Y$4</f>
        <v>oct. 2028</v>
      </c>
      <c r="Z7" s="43" t="str">
        <f aca="false">CHOOSE(Z$5,"janv.","févr.","mars","avr.","mai","juin","juil.","août","sept.","oct.","nov.","déc.")&amp;" "&amp;Z$4</f>
        <v>nov. 2028</v>
      </c>
      <c r="AA7" s="43" t="str">
        <f aca="false">CHOOSE(AA$5,"janv.","févr.","mars","avr.","mai","juin","juil.","août","sept.","oct.","nov.","déc.")&amp;" "&amp;AA$4</f>
        <v>déc. 2028</v>
      </c>
      <c r="AB7" s="43" t="str">
        <f aca="false">CHOOSE(AB$5,"janv.","févr.","mars","avr.","mai","juin","juil.","août","sept.","oct.","nov.","déc.")&amp;" "&amp;AB$4</f>
        <v>janv. 2029</v>
      </c>
      <c r="AC7" s="43" t="str">
        <f aca="false">CHOOSE(AC$5,"janv.","févr.","mars","avr.","mai","juin","juil.","août","sept.","oct.","nov.","déc.")&amp;" "&amp;AC$4</f>
        <v>févr. 2029</v>
      </c>
      <c r="AD7" s="43" t="str">
        <f aca="false">CHOOSE(AD$5,"janv.","févr.","mars","avr.","mai","juin","juil.","août","sept.","oct.","nov.","déc.")&amp;" "&amp;AD$4</f>
        <v>mars 2029</v>
      </c>
      <c r="AE7" s="43" t="str">
        <f aca="false">CHOOSE(AE$5,"janv.","févr.","mars","avr.","mai","juin","juil.","août","sept.","oct.","nov.","déc.")&amp;" "&amp;AE$4</f>
        <v>avr. 2029</v>
      </c>
      <c r="AF7" s="43" t="str">
        <f aca="false">CHOOSE(AF$5,"janv.","févr.","mars","avr.","mai","juin","juil.","août","sept.","oct.","nov.","déc.")&amp;" "&amp;AF$4</f>
        <v>mai 2029</v>
      </c>
      <c r="AG7" s="43" t="str">
        <f aca="false">CHOOSE(AG$5,"janv.","févr.","mars","avr.","mai","juin","juil.","août","sept.","oct.","nov.","déc.")&amp;" "&amp;AG$4</f>
        <v>juin 2029</v>
      </c>
      <c r="AH7" s="43" t="str">
        <f aca="false">CHOOSE(AH$5,"janv.","févr.","mars","avr.","mai","juin","juil.","août","sept.","oct.","nov.","déc.")&amp;" "&amp;AH$4</f>
        <v>juil. 2029</v>
      </c>
      <c r="AI7" s="43" t="str">
        <f aca="false">CHOOSE(AI$5,"janv.","févr.","mars","avr.","mai","juin","juil.","août","sept.","oct.","nov.","déc.")&amp;" "&amp;AI$4</f>
        <v>août 2029</v>
      </c>
      <c r="AJ7" s="43" t="str">
        <f aca="false">CHOOSE(AJ$5,"janv.","févr.","mars","avr.","mai","juin","juil.","août","sept.","oct.","nov.","déc.")&amp;" "&amp;AJ$4</f>
        <v>sept. 2029</v>
      </c>
      <c r="AK7" s="43" t="str">
        <f aca="false">CHOOSE(AK$5,"janv.","févr.","mars","avr.","mai","juin","juil.","août","sept.","oct.","nov.","déc.")&amp;" "&amp;AK$4</f>
        <v>oct. 2029</v>
      </c>
      <c r="AL7" s="43" t="str">
        <f aca="false">CHOOSE(AL$5,"janv.","févr.","mars","avr.","mai","juin","juil.","août","sept.","oct.","nov.","déc.")&amp;" "&amp;AL$4</f>
        <v>nov. 2029</v>
      </c>
      <c r="AM7" s="43" t="str">
        <f aca="false">CHOOSE(AM$5,"janv.","févr.","mars","avr.","mai","juin","juil.","août","sept.","oct.","nov.","déc.")&amp;" "&amp;AM$4</f>
        <v>déc. 2029</v>
      </c>
      <c r="AO7" s="31" t="n">
        <f aca="false">AO$4</f>
        <v>2027</v>
      </c>
      <c r="AP7" s="31" t="n">
        <f aca="false">AP$4</f>
        <v>2028</v>
      </c>
      <c r="AQ7" s="31" t="n">
        <f aca="false">AQ$4</f>
        <v>2029</v>
      </c>
    </row>
    <row r="8" customFormat="false" ht="15" hidden="false" customHeight="false" outlineLevel="0" collapsed="false">
      <c r="A8" s="5" t="s">
        <v>385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</row>
    <row r="9" customFormat="false" ht="15" hidden="false" customHeight="false" outlineLevel="0" collapsed="false">
      <c r="A9" s="10" t="s">
        <v>386</v>
      </c>
      <c r="B9" s="13" t="s">
        <v>59</v>
      </c>
      <c r="C9" s="50" t="n">
        <v>0</v>
      </c>
      <c r="D9" s="45" t="n">
        <f aca="false">CHOOSE(D$4-annee_debut+1,nouveaux_a1_a,nouveaux_a2_a,nouveaux_a3_a)</f>
        <v>6</v>
      </c>
      <c r="E9" s="45" t="n">
        <f aca="false">CHOOSE(E$4-annee_debut+1,nouveaux_a1_a,nouveaux_a2_a,nouveaux_a3_a)</f>
        <v>6</v>
      </c>
      <c r="F9" s="45" t="n">
        <f aca="false">CHOOSE(F$4-annee_debut+1,nouveaux_a1_a,nouveaux_a2_a,nouveaux_a3_a)</f>
        <v>6</v>
      </c>
      <c r="G9" s="45" t="n">
        <f aca="false">CHOOSE(G$4-annee_debut+1,nouveaux_a1_a,nouveaux_a2_a,nouveaux_a3_a)</f>
        <v>6</v>
      </c>
      <c r="H9" s="45" t="n">
        <f aca="false">CHOOSE(H$4-annee_debut+1,nouveaux_a1_a,nouveaux_a2_a,nouveaux_a3_a)</f>
        <v>6</v>
      </c>
      <c r="I9" s="45" t="n">
        <f aca="false">CHOOSE(I$4-annee_debut+1,nouveaux_a1_a,nouveaux_a2_a,nouveaux_a3_a)</f>
        <v>6</v>
      </c>
      <c r="J9" s="45" t="n">
        <f aca="false">CHOOSE(J$4-annee_debut+1,nouveaux_a1_a,nouveaux_a2_a,nouveaux_a3_a)</f>
        <v>6</v>
      </c>
      <c r="K9" s="45" t="n">
        <f aca="false">CHOOSE(K$4-annee_debut+1,nouveaux_a1_a,nouveaux_a2_a,nouveaux_a3_a)</f>
        <v>6</v>
      </c>
      <c r="L9" s="45" t="n">
        <f aca="false">CHOOSE(L$4-annee_debut+1,nouveaux_a1_a,nouveaux_a2_a,nouveaux_a3_a)</f>
        <v>6</v>
      </c>
      <c r="M9" s="45" t="n">
        <f aca="false">CHOOSE(M$4-annee_debut+1,nouveaux_a1_a,nouveaux_a2_a,nouveaux_a3_a)</f>
        <v>6</v>
      </c>
      <c r="N9" s="45" t="n">
        <f aca="false">CHOOSE(N$4-annee_debut+1,nouveaux_a1_a,nouveaux_a2_a,nouveaux_a3_a)</f>
        <v>6</v>
      </c>
      <c r="O9" s="45" t="n">
        <f aca="false">CHOOSE(O$4-annee_debut+1,nouveaux_a1_a,nouveaux_a2_a,nouveaux_a3_a)</f>
        <v>6</v>
      </c>
      <c r="P9" s="45" t="n">
        <f aca="false">CHOOSE(P$4-annee_debut+1,nouveaux_a1_a,nouveaux_a2_a,nouveaux_a3_a)</f>
        <v>12</v>
      </c>
      <c r="Q9" s="45" t="n">
        <f aca="false">CHOOSE(Q$4-annee_debut+1,nouveaux_a1_a,nouveaux_a2_a,nouveaux_a3_a)</f>
        <v>12</v>
      </c>
      <c r="R9" s="45" t="n">
        <f aca="false">CHOOSE(R$4-annee_debut+1,nouveaux_a1_a,nouveaux_a2_a,nouveaux_a3_a)</f>
        <v>12</v>
      </c>
      <c r="S9" s="45" t="n">
        <f aca="false">CHOOSE(S$4-annee_debut+1,nouveaux_a1_a,nouveaux_a2_a,nouveaux_a3_a)</f>
        <v>12</v>
      </c>
      <c r="T9" s="45" t="n">
        <f aca="false">CHOOSE(T$4-annee_debut+1,nouveaux_a1_a,nouveaux_a2_a,nouveaux_a3_a)</f>
        <v>12</v>
      </c>
      <c r="U9" s="45" t="n">
        <f aca="false">CHOOSE(U$4-annee_debut+1,nouveaux_a1_a,nouveaux_a2_a,nouveaux_a3_a)</f>
        <v>12</v>
      </c>
      <c r="V9" s="45" t="n">
        <f aca="false">CHOOSE(V$4-annee_debut+1,nouveaux_a1_a,nouveaux_a2_a,nouveaux_a3_a)</f>
        <v>12</v>
      </c>
      <c r="W9" s="45" t="n">
        <f aca="false">CHOOSE(W$4-annee_debut+1,nouveaux_a1_a,nouveaux_a2_a,nouveaux_a3_a)</f>
        <v>12</v>
      </c>
      <c r="X9" s="45" t="n">
        <f aca="false">CHOOSE(X$4-annee_debut+1,nouveaux_a1_a,nouveaux_a2_a,nouveaux_a3_a)</f>
        <v>12</v>
      </c>
      <c r="Y9" s="45" t="n">
        <f aca="false">CHOOSE(Y$4-annee_debut+1,nouveaux_a1_a,nouveaux_a2_a,nouveaux_a3_a)</f>
        <v>12</v>
      </c>
      <c r="Z9" s="45" t="n">
        <f aca="false">CHOOSE(Z$4-annee_debut+1,nouveaux_a1_a,nouveaux_a2_a,nouveaux_a3_a)</f>
        <v>12</v>
      </c>
      <c r="AA9" s="45" t="n">
        <f aca="false">CHOOSE(AA$4-annee_debut+1,nouveaux_a1_a,nouveaux_a2_a,nouveaux_a3_a)</f>
        <v>12</v>
      </c>
      <c r="AB9" s="45" t="n">
        <f aca="false">CHOOSE(AB$4-annee_debut+1,nouveaux_a1_a,nouveaux_a2_a,nouveaux_a3_a)</f>
        <v>17</v>
      </c>
      <c r="AC9" s="45" t="n">
        <f aca="false">CHOOSE(AC$4-annee_debut+1,nouveaux_a1_a,nouveaux_a2_a,nouveaux_a3_a)</f>
        <v>17</v>
      </c>
      <c r="AD9" s="45" t="n">
        <f aca="false">CHOOSE(AD$4-annee_debut+1,nouveaux_a1_a,nouveaux_a2_a,nouveaux_a3_a)</f>
        <v>17</v>
      </c>
      <c r="AE9" s="45" t="n">
        <f aca="false">CHOOSE(AE$4-annee_debut+1,nouveaux_a1_a,nouveaux_a2_a,nouveaux_a3_a)</f>
        <v>17</v>
      </c>
      <c r="AF9" s="45" t="n">
        <f aca="false">CHOOSE(AF$4-annee_debut+1,nouveaux_a1_a,nouveaux_a2_a,nouveaux_a3_a)</f>
        <v>17</v>
      </c>
      <c r="AG9" s="45" t="n">
        <f aca="false">CHOOSE(AG$4-annee_debut+1,nouveaux_a1_a,nouveaux_a2_a,nouveaux_a3_a)</f>
        <v>17</v>
      </c>
      <c r="AH9" s="45" t="n">
        <f aca="false">CHOOSE(AH$4-annee_debut+1,nouveaux_a1_a,nouveaux_a2_a,nouveaux_a3_a)</f>
        <v>17</v>
      </c>
      <c r="AI9" s="45" t="n">
        <f aca="false">CHOOSE(AI$4-annee_debut+1,nouveaux_a1_a,nouveaux_a2_a,nouveaux_a3_a)</f>
        <v>17</v>
      </c>
      <c r="AJ9" s="45" t="n">
        <f aca="false">CHOOSE(AJ$4-annee_debut+1,nouveaux_a1_a,nouveaux_a2_a,nouveaux_a3_a)</f>
        <v>17</v>
      </c>
      <c r="AK9" s="45" t="n">
        <f aca="false">CHOOSE(AK$4-annee_debut+1,nouveaux_a1_a,nouveaux_a2_a,nouveaux_a3_a)</f>
        <v>17</v>
      </c>
      <c r="AL9" s="45" t="n">
        <f aca="false">CHOOSE(AL$4-annee_debut+1,nouveaux_a1_a,nouveaux_a2_a,nouveaux_a3_a)</f>
        <v>17</v>
      </c>
      <c r="AM9" s="45" t="n">
        <f aca="false">CHOOSE(AM$4-annee_debut+1,nouveaux_a1_a,nouveaux_a2_a,nouveaux_a3_a)</f>
        <v>17</v>
      </c>
      <c r="AO9" s="45" t="n">
        <f aca="false">SUMIF($D$4:$AM$4,AO$4,$D9:$AM9)</f>
        <v>72</v>
      </c>
      <c r="AP9" s="45" t="n">
        <f aca="false">SUMIF($D$4:$AM$4,AP$4,$D9:$AM9)</f>
        <v>144</v>
      </c>
      <c r="AQ9" s="45" t="n">
        <f aca="false">SUMIF($D$4:$AM$4,AQ$4,$D9:$AM9)</f>
        <v>204</v>
      </c>
    </row>
    <row r="10" customFormat="false" ht="15" hidden="false" customHeight="false" outlineLevel="0" collapsed="false">
      <c r="A10" s="11" t="s">
        <v>387</v>
      </c>
      <c r="B10" s="13" t="s">
        <v>59</v>
      </c>
      <c r="C10" s="51" t="n">
        <v>0</v>
      </c>
      <c r="D10" s="52" t="n">
        <f aca="false">C10*(1-attrition_a)+D9</f>
        <v>6</v>
      </c>
      <c r="E10" s="52" t="n">
        <f aca="false">D10*(1-attrition_a)+E9</f>
        <v>11.952</v>
      </c>
      <c r="F10" s="52" t="n">
        <f aca="false">E10*(1-attrition_a)+F9</f>
        <v>17.856384</v>
      </c>
      <c r="G10" s="52" t="n">
        <f aca="false">F10*(1-attrition_a)+G9</f>
        <v>23.713532928</v>
      </c>
      <c r="H10" s="52" t="n">
        <f aca="false">G10*(1-attrition_a)+H9</f>
        <v>29.523824664576</v>
      </c>
      <c r="I10" s="52" t="n">
        <f aca="false">H10*(1-attrition_a)+I9</f>
        <v>35.2876340672594</v>
      </c>
      <c r="J10" s="52" t="n">
        <f aca="false">I10*(1-attrition_a)+J9</f>
        <v>41.0053329947213</v>
      </c>
      <c r="K10" s="52" t="n">
        <f aca="false">J10*(1-attrition_a)+K9</f>
        <v>46.6772903307635</v>
      </c>
      <c r="L10" s="52" t="n">
        <f aca="false">K10*(1-attrition_a)+L9</f>
        <v>52.3038720081174</v>
      </c>
      <c r="M10" s="52" t="n">
        <f aca="false">L10*(1-attrition_a)+M9</f>
        <v>57.8854410320525</v>
      </c>
      <c r="N10" s="52" t="n">
        <f aca="false">M10*(1-attrition_a)+N9</f>
        <v>63.4223575037961</v>
      </c>
      <c r="O10" s="52" t="n">
        <f aca="false">N10*(1-attrition_a)+O9</f>
        <v>68.9149786437657</v>
      </c>
      <c r="P10" s="52" t="n">
        <f aca="false">O10*(1-attrition_a)+P9</f>
        <v>80.3636588146156</v>
      </c>
      <c r="Q10" s="52" t="n">
        <f aca="false">P10*(1-attrition_a)+Q9</f>
        <v>91.7207495440986</v>
      </c>
      <c r="R10" s="52" t="n">
        <f aca="false">Q10*(1-attrition_a)+R9</f>
        <v>102.986983547746</v>
      </c>
      <c r="S10" s="52" t="n">
        <f aca="false">R10*(1-attrition_a)+S9</f>
        <v>114.163087679364</v>
      </c>
      <c r="T10" s="52" t="n">
        <f aca="false">S10*(1-attrition_a)+T9</f>
        <v>125.249782977929</v>
      </c>
      <c r="U10" s="52" t="n">
        <f aca="false">T10*(1-attrition_a)+U9</f>
        <v>136.247784714106</v>
      </c>
      <c r="V10" s="52" t="n">
        <f aca="false">U10*(1-attrition_a)+V9</f>
        <v>147.157802436393</v>
      </c>
      <c r="W10" s="52" t="n">
        <f aca="false">V10*(1-attrition_a)+W9</f>
        <v>157.980540016902</v>
      </c>
      <c r="X10" s="52" t="n">
        <f aca="false">W10*(1-attrition_a)+X9</f>
        <v>168.716695696766</v>
      </c>
      <c r="Y10" s="52" t="n">
        <f aca="false">X10*(1-attrition_a)+Y9</f>
        <v>179.366962131192</v>
      </c>
      <c r="Z10" s="52" t="n">
        <f aca="false">Y10*(1-attrition_a)+Z9</f>
        <v>189.932026434143</v>
      </c>
      <c r="AA10" s="52" t="n">
        <f aca="false">Z10*(1-attrition_a)+AA9</f>
        <v>200.41257022267</v>
      </c>
      <c r="AB10" s="52" t="n">
        <f aca="false">AA10*(1-attrition_a)+AB9</f>
        <v>215.809269660888</v>
      </c>
      <c r="AC10" s="52" t="n">
        <f aca="false">AB10*(1-attrition_a)+AC9</f>
        <v>231.082795503601</v>
      </c>
      <c r="AD10" s="52" t="n">
        <f aca="false">AC10*(1-attrition_a)+AD9</f>
        <v>246.234133139572</v>
      </c>
      <c r="AE10" s="52" t="n">
        <f aca="false">AD10*(1-attrition_a)+AE9</f>
        <v>261.264260074456</v>
      </c>
      <c r="AF10" s="52" t="n">
        <f aca="false">AE10*(1-attrition_a)+AF9</f>
        <v>276.17414599386</v>
      </c>
      <c r="AG10" s="52" t="n">
        <f aca="false">AF10*(1-attrition_a)+AG9</f>
        <v>290.964752825909</v>
      </c>
      <c r="AH10" s="52" t="n">
        <f aca="false">AG10*(1-attrition_a)+AH9</f>
        <v>305.637034803302</v>
      </c>
      <c r="AI10" s="52" t="n">
        <f aca="false">AH10*(1-attrition_a)+AI9</f>
        <v>320.191938524875</v>
      </c>
      <c r="AJ10" s="52" t="n">
        <f aca="false">AI10*(1-attrition_a)+AJ9</f>
        <v>334.630403016676</v>
      </c>
      <c r="AK10" s="52" t="n">
        <f aca="false">AJ10*(1-attrition_a)+AK9</f>
        <v>348.953359792543</v>
      </c>
      <c r="AL10" s="52" t="n">
        <f aca="false">AK10*(1-attrition_a)+AL9</f>
        <v>363.161732914203</v>
      </c>
      <c r="AM10" s="52" t="n">
        <f aca="false">AL10*(1-attrition_a)+AM9</f>
        <v>377.256439050889</v>
      </c>
      <c r="AO10" s="52" t="n">
        <f aca="false">INDEX($D10:$AM10,(AO$4-annee_debut)*12+12)</f>
        <v>68.9149786437657</v>
      </c>
      <c r="AP10" s="52" t="n">
        <f aca="false">INDEX($D10:$AM10,(AP$4-annee_debut)*12+12)</f>
        <v>200.41257022267</v>
      </c>
      <c r="AQ10" s="52" t="n">
        <f aca="false">INDEX($D10:$AM10,(AQ$4-annee_debut)*12+12)</f>
        <v>377.256439050889</v>
      </c>
    </row>
    <row r="11" customFormat="false" ht="15" hidden="false" customHeight="false" outlineLevel="0" collapsed="false">
      <c r="A11" s="10" t="s">
        <v>388</v>
      </c>
      <c r="B11" s="13" t="s">
        <v>59</v>
      </c>
      <c r="C11" s="51" t="n">
        <v>0</v>
      </c>
      <c r="D11" s="53" t="n">
        <f aca="false">(C10+D10)/2</f>
        <v>3</v>
      </c>
      <c r="E11" s="53" t="n">
        <f aca="false">(D10+E10)/2</f>
        <v>8.976</v>
      </c>
      <c r="F11" s="53" t="n">
        <f aca="false">(E10+F10)/2</f>
        <v>14.904192</v>
      </c>
      <c r="G11" s="53" t="n">
        <f aca="false">(F10+G10)/2</f>
        <v>20.784958464</v>
      </c>
      <c r="H11" s="53" t="n">
        <f aca="false">(G10+H10)/2</f>
        <v>26.618678796288</v>
      </c>
      <c r="I11" s="53" t="n">
        <f aca="false">(H10+I10)/2</f>
        <v>32.4057293659177</v>
      </c>
      <c r="J11" s="53" t="n">
        <f aca="false">(I10+J10)/2</f>
        <v>38.1464835309904</v>
      </c>
      <c r="K11" s="53" t="n">
        <f aca="false">(J10+K10)/2</f>
        <v>43.8413116627424</v>
      </c>
      <c r="L11" s="53" t="n">
        <f aca="false">(K10+L10)/2</f>
        <v>49.4905811694405</v>
      </c>
      <c r="M11" s="53" t="n">
        <f aca="false">(L10+M10)/2</f>
        <v>55.094656520085</v>
      </c>
      <c r="N11" s="53" t="n">
        <f aca="false">(M10+N10)/2</f>
        <v>60.6538992679243</v>
      </c>
      <c r="O11" s="53" t="n">
        <f aca="false">(N10+O10)/2</f>
        <v>66.1686680737809</v>
      </c>
      <c r="P11" s="53" t="n">
        <f aca="false">(O10+P10)/2</f>
        <v>74.6393187291906</v>
      </c>
      <c r="Q11" s="53" t="n">
        <f aca="false">(P10+Q10)/2</f>
        <v>86.0422041793571</v>
      </c>
      <c r="R11" s="53" t="n">
        <f aca="false">(Q10+R10)/2</f>
        <v>97.3538665459222</v>
      </c>
      <c r="S11" s="53" t="n">
        <f aca="false">(R10+S10)/2</f>
        <v>108.575035613555</v>
      </c>
      <c r="T11" s="53" t="n">
        <f aca="false">(S10+T10)/2</f>
        <v>119.706435328646</v>
      </c>
      <c r="U11" s="53" t="n">
        <f aca="false">(T10+U10)/2</f>
        <v>130.748783846017</v>
      </c>
      <c r="V11" s="53" t="n">
        <f aca="false">(U10+V10)/2</f>
        <v>141.702793575249</v>
      </c>
      <c r="W11" s="53" t="n">
        <f aca="false">(V10+W10)/2</f>
        <v>152.569171226647</v>
      </c>
      <c r="X11" s="53" t="n">
        <f aca="false">(W10+X10)/2</f>
        <v>163.348617856834</v>
      </c>
      <c r="Y11" s="53" t="n">
        <f aca="false">(X10+Y10)/2</f>
        <v>174.041828913979</v>
      </c>
      <c r="Z11" s="53" t="n">
        <f aca="false">(Y10+Z10)/2</f>
        <v>184.649494282667</v>
      </c>
      <c r="AA11" s="53" t="n">
        <f aca="false">(Z10+AA10)/2</f>
        <v>195.172298328406</v>
      </c>
      <c r="AB11" s="53" t="n">
        <f aca="false">(AA10+AB10)/2</f>
        <v>208.110919941779</v>
      </c>
      <c r="AC11" s="53" t="n">
        <f aca="false">(AB10+AC10)/2</f>
        <v>223.446032582245</v>
      </c>
      <c r="AD11" s="53" t="n">
        <f aca="false">(AC10+AD10)/2</f>
        <v>238.658464321587</v>
      </c>
      <c r="AE11" s="53" t="n">
        <f aca="false">(AD10+AE10)/2</f>
        <v>253.749196607014</v>
      </c>
      <c r="AF11" s="53" t="n">
        <f aca="false">(AE10+AF10)/2</f>
        <v>268.719203034158</v>
      </c>
      <c r="AG11" s="53" t="n">
        <f aca="false">(AF10+AG10)/2</f>
        <v>283.569449409885</v>
      </c>
      <c r="AH11" s="53" t="n">
        <f aca="false">(AG10+AH10)/2</f>
        <v>298.300893814606</v>
      </c>
      <c r="AI11" s="53" t="n">
        <f aca="false">(AH10+AI10)/2</f>
        <v>312.914486664089</v>
      </c>
      <c r="AJ11" s="53" t="n">
        <f aca="false">(AI10+AJ10)/2</f>
        <v>327.411170770776</v>
      </c>
      <c r="AK11" s="53" t="n">
        <f aca="false">(AJ10+AK10)/2</f>
        <v>341.79188140461</v>
      </c>
      <c r="AL11" s="53" t="n">
        <f aca="false">(AK10+AL10)/2</f>
        <v>356.057546353373</v>
      </c>
      <c r="AM11" s="53" t="n">
        <f aca="false">(AL10+AM10)/2</f>
        <v>370.209085982546</v>
      </c>
    </row>
    <row r="12" customFormat="false" ht="15" hidden="false" customHeight="false" outlineLevel="0" collapsed="false">
      <c r="A12" s="10" t="s">
        <v>389</v>
      </c>
      <c r="B12" s="13" t="s">
        <v>390</v>
      </c>
      <c r="C12" s="54" t="n">
        <v>0</v>
      </c>
      <c r="D12" s="55" t="n">
        <f aca="false">INDEX(saisonnalite,D$5)</f>
        <v>0.95</v>
      </c>
      <c r="E12" s="55" t="n">
        <f aca="false">INDEX(saisonnalite,E$5)</f>
        <v>0.95</v>
      </c>
      <c r="F12" s="55" t="n">
        <f aca="false">INDEX(saisonnalite,F$5)</f>
        <v>1</v>
      </c>
      <c r="G12" s="55" t="n">
        <f aca="false">INDEX(saisonnalite,G$5)</f>
        <v>1.02</v>
      </c>
      <c r="H12" s="55" t="n">
        <f aca="false">INDEX(saisonnalite,H$5)</f>
        <v>1.05</v>
      </c>
      <c r="I12" s="55" t="n">
        <f aca="false">INDEX(saisonnalite,I$5)</f>
        <v>1.08</v>
      </c>
      <c r="J12" s="55" t="n">
        <f aca="false">INDEX(saisonnalite,J$5)</f>
        <v>1.05</v>
      </c>
      <c r="K12" s="55" t="n">
        <f aca="false">INDEX(saisonnalite,K$5)</f>
        <v>0.8</v>
      </c>
      <c r="L12" s="55" t="n">
        <f aca="false">INDEX(saisonnalite,L$5)</f>
        <v>1.05</v>
      </c>
      <c r="M12" s="55" t="n">
        <f aca="false">INDEX(saisonnalite,M$5)</f>
        <v>1.03</v>
      </c>
      <c r="N12" s="55" t="n">
        <f aca="false">INDEX(saisonnalite,N$5)</f>
        <v>1</v>
      </c>
      <c r="O12" s="55" t="n">
        <f aca="false">INDEX(saisonnalite,O$5)</f>
        <v>1.02</v>
      </c>
      <c r="P12" s="55" t="n">
        <f aca="false">INDEX(saisonnalite,P$5)</f>
        <v>0.95</v>
      </c>
      <c r="Q12" s="55" t="n">
        <f aca="false">INDEX(saisonnalite,Q$5)</f>
        <v>0.95</v>
      </c>
      <c r="R12" s="55" t="n">
        <f aca="false">INDEX(saisonnalite,R$5)</f>
        <v>1</v>
      </c>
      <c r="S12" s="55" t="n">
        <f aca="false">INDEX(saisonnalite,S$5)</f>
        <v>1.02</v>
      </c>
      <c r="T12" s="55" t="n">
        <f aca="false">INDEX(saisonnalite,T$5)</f>
        <v>1.05</v>
      </c>
      <c r="U12" s="55" t="n">
        <f aca="false">INDEX(saisonnalite,U$5)</f>
        <v>1.08</v>
      </c>
      <c r="V12" s="55" t="n">
        <f aca="false">INDEX(saisonnalite,V$5)</f>
        <v>1.05</v>
      </c>
      <c r="W12" s="55" t="n">
        <f aca="false">INDEX(saisonnalite,W$5)</f>
        <v>0.8</v>
      </c>
      <c r="X12" s="55" t="n">
        <f aca="false">INDEX(saisonnalite,X$5)</f>
        <v>1.05</v>
      </c>
      <c r="Y12" s="55" t="n">
        <f aca="false">INDEX(saisonnalite,Y$5)</f>
        <v>1.03</v>
      </c>
      <c r="Z12" s="55" t="n">
        <f aca="false">INDEX(saisonnalite,Z$5)</f>
        <v>1</v>
      </c>
      <c r="AA12" s="55" t="n">
        <f aca="false">INDEX(saisonnalite,AA$5)</f>
        <v>1.02</v>
      </c>
      <c r="AB12" s="55" t="n">
        <f aca="false">INDEX(saisonnalite,AB$5)</f>
        <v>0.95</v>
      </c>
      <c r="AC12" s="55" t="n">
        <f aca="false">INDEX(saisonnalite,AC$5)</f>
        <v>0.95</v>
      </c>
      <c r="AD12" s="55" t="n">
        <f aca="false">INDEX(saisonnalite,AD$5)</f>
        <v>1</v>
      </c>
      <c r="AE12" s="55" t="n">
        <f aca="false">INDEX(saisonnalite,AE$5)</f>
        <v>1.02</v>
      </c>
      <c r="AF12" s="55" t="n">
        <f aca="false">INDEX(saisonnalite,AF$5)</f>
        <v>1.05</v>
      </c>
      <c r="AG12" s="55" t="n">
        <f aca="false">INDEX(saisonnalite,AG$5)</f>
        <v>1.08</v>
      </c>
      <c r="AH12" s="55" t="n">
        <f aca="false">INDEX(saisonnalite,AH$5)</f>
        <v>1.05</v>
      </c>
      <c r="AI12" s="55" t="n">
        <f aca="false">INDEX(saisonnalite,AI$5)</f>
        <v>0.8</v>
      </c>
      <c r="AJ12" s="55" t="n">
        <f aca="false">INDEX(saisonnalite,AJ$5)</f>
        <v>1.05</v>
      </c>
      <c r="AK12" s="55" t="n">
        <f aca="false">INDEX(saisonnalite,AK$5)</f>
        <v>1.03</v>
      </c>
      <c r="AL12" s="55" t="n">
        <f aca="false">INDEX(saisonnalite,AL$5)</f>
        <v>1</v>
      </c>
      <c r="AM12" s="55" t="n">
        <f aca="false">INDEX(saisonnalite,AM$5)</f>
        <v>1.02</v>
      </c>
    </row>
    <row r="13" customFormat="false" ht="15" hidden="false" customHeight="false" outlineLevel="0" collapsed="false">
      <c r="A13" s="11" t="s">
        <v>391</v>
      </c>
      <c r="B13" s="13" t="s">
        <v>59</v>
      </c>
      <c r="C13" s="50" t="n">
        <v>0</v>
      </c>
      <c r="D13" s="44" t="n">
        <f aca="false">D11*rotations_pdv_a*D12</f>
        <v>2337</v>
      </c>
      <c r="E13" s="44" t="n">
        <f aca="false">E11*rotations_pdv_a*E12</f>
        <v>6992.304</v>
      </c>
      <c r="F13" s="44" t="n">
        <f aca="false">F11*rotations_pdv_a*F12</f>
        <v>12221.43744</v>
      </c>
      <c r="G13" s="44" t="n">
        <f aca="false">G11*rotations_pdv_a*G12</f>
        <v>17384.5392592896</v>
      </c>
      <c r="H13" s="44" t="n">
        <f aca="false">H11*rotations_pdv_a*H12</f>
        <v>22918.682443604</v>
      </c>
      <c r="I13" s="44" t="n">
        <f aca="false">I11*rotations_pdv_a*I12</f>
        <v>28698.5139264567</v>
      </c>
      <c r="J13" s="44" t="n">
        <f aca="false">J11*rotations_pdv_a*J12</f>
        <v>32844.1223201827</v>
      </c>
      <c r="K13" s="44" t="n">
        <f aca="false">K11*rotations_pdv_a*K12</f>
        <v>28759.900450759</v>
      </c>
      <c r="L13" s="44" t="n">
        <f aca="false">L11*rotations_pdv_a*L12</f>
        <v>42611.3903868883</v>
      </c>
      <c r="M13" s="44" t="n">
        <f aca="false">M11*rotations_pdv_a*M12</f>
        <v>46532.9468968638</v>
      </c>
      <c r="N13" s="44" t="n">
        <f aca="false">N11*rotations_pdv_a*N12</f>
        <v>49736.1973996979</v>
      </c>
      <c r="O13" s="44" t="n">
        <f aca="false">O11*rotations_pdv_a*O12</f>
        <v>55343.4739769103</v>
      </c>
      <c r="P13" s="44" t="n">
        <f aca="false">P11*rotations_pdv_a*P12</f>
        <v>58144.0292900395</v>
      </c>
      <c r="Q13" s="44" t="n">
        <f aca="false">Q11*rotations_pdv_a*Q12</f>
        <v>67026.8770557192</v>
      </c>
      <c r="R13" s="44" t="n">
        <f aca="false">R11*rotations_pdv_a*R12</f>
        <v>79830.1705676562</v>
      </c>
      <c r="S13" s="44" t="n">
        <f aca="false">S11*rotations_pdv_a*S12</f>
        <v>90812.1597871773</v>
      </c>
      <c r="T13" s="44" t="n">
        <f aca="false">T11*rotations_pdv_a*T12</f>
        <v>103067.240817965</v>
      </c>
      <c r="U13" s="44" t="n">
        <f aca="false">U11*rotations_pdv_a*U12</f>
        <v>115791.122974033</v>
      </c>
      <c r="V13" s="44" t="n">
        <f aca="false">V11*rotations_pdv_a*V12</f>
        <v>122006.10526829</v>
      </c>
      <c r="W13" s="44" t="n">
        <f aca="false">W11*rotations_pdv_a*W12</f>
        <v>100085.376324681</v>
      </c>
      <c r="X13" s="44" t="n">
        <f aca="false">X11*rotations_pdv_a*X12</f>
        <v>140643.159974734</v>
      </c>
      <c r="Y13" s="44" t="n">
        <f aca="false">Y11*rotations_pdv_a*Y12</f>
        <v>146995.728700747</v>
      </c>
      <c r="Z13" s="44" t="n">
        <f aca="false">Z11*rotations_pdv_a*Z12</f>
        <v>151412.585311787</v>
      </c>
      <c r="AA13" s="44" t="n">
        <f aca="false">AA11*rotations_pdv_a*AA12</f>
        <v>163242.110321879</v>
      </c>
      <c r="AB13" s="44" t="n">
        <f aca="false">AB11*rotations_pdv_a*AB12</f>
        <v>162118.406634646</v>
      </c>
      <c r="AC13" s="44" t="n">
        <f aca="false">AC11*rotations_pdv_a*AC12</f>
        <v>174064.459381569</v>
      </c>
      <c r="AD13" s="44" t="n">
        <f aca="false">AD11*rotations_pdv_a*AD12</f>
        <v>195699.940743701</v>
      </c>
      <c r="AE13" s="44" t="n">
        <f aca="false">AE11*rotations_pdv_a*AE12</f>
        <v>212235.828042107</v>
      </c>
      <c r="AF13" s="44" t="n">
        <f aca="false">AF11*rotations_pdv_a*AF12</f>
        <v>231367.23381241</v>
      </c>
      <c r="AG13" s="44" t="n">
        <f aca="false">AG11*rotations_pdv_a*AG12</f>
        <v>251129.104397394</v>
      </c>
      <c r="AH13" s="44" t="n">
        <f aca="false">AH11*rotations_pdv_a*AH12</f>
        <v>256837.069574375</v>
      </c>
      <c r="AI13" s="44" t="n">
        <f aca="false">AI11*rotations_pdv_a*AI12</f>
        <v>205271.903251642</v>
      </c>
      <c r="AJ13" s="44" t="n">
        <f aca="false">AJ11*rotations_pdv_a*AJ12</f>
        <v>281901.018033638</v>
      </c>
      <c r="AK13" s="44" t="n">
        <f aca="false">AK11*rotations_pdv_a*AK12</f>
        <v>288677.423034333</v>
      </c>
      <c r="AL13" s="44" t="n">
        <f aca="false">AL11*rotations_pdv_a*AL12</f>
        <v>291967.188009766</v>
      </c>
      <c r="AM13" s="44" t="n">
        <f aca="false">AM11*rotations_pdv_a*AM12</f>
        <v>309642.879515801</v>
      </c>
      <c r="AO13" s="44" t="n">
        <f aca="false">SUMIF($D$4:$AM$4,AO$4,$D13:$AM13)</f>
        <v>346380.508500652</v>
      </c>
      <c r="AP13" s="44" t="n">
        <f aca="false">SUMIF($D$4:$AM$4,AP$4,$D13:$AM13)</f>
        <v>1339056.66639471</v>
      </c>
      <c r="AQ13" s="44" t="n">
        <f aca="false">SUMIF($D$4:$AM$4,AQ$4,$D13:$AM13)</f>
        <v>2860912.45443138</v>
      </c>
    </row>
    <row r="14" customFormat="false" ht="15" hidden="false" customHeight="false" outlineLevel="0" collapsed="false">
      <c r="A14" s="10" t="s">
        <v>392</v>
      </c>
      <c r="B14" s="13" t="s">
        <v>390</v>
      </c>
      <c r="C14" s="56" t="n">
        <v>0</v>
      </c>
      <c r="D14" s="57" t="n">
        <f aca="false">(1+indexation_prix)^(D$4-annee_debut)</f>
        <v>1</v>
      </c>
      <c r="E14" s="57" t="n">
        <f aca="false">(1+indexation_prix)^(E$4-annee_debut)</f>
        <v>1</v>
      </c>
      <c r="F14" s="57" t="n">
        <f aca="false">(1+indexation_prix)^(F$4-annee_debut)</f>
        <v>1</v>
      </c>
      <c r="G14" s="57" t="n">
        <f aca="false">(1+indexation_prix)^(G$4-annee_debut)</f>
        <v>1</v>
      </c>
      <c r="H14" s="57" t="n">
        <f aca="false">(1+indexation_prix)^(H$4-annee_debut)</f>
        <v>1</v>
      </c>
      <c r="I14" s="57" t="n">
        <f aca="false">(1+indexation_prix)^(I$4-annee_debut)</f>
        <v>1</v>
      </c>
      <c r="J14" s="57" t="n">
        <f aca="false">(1+indexation_prix)^(J$4-annee_debut)</f>
        <v>1</v>
      </c>
      <c r="K14" s="57" t="n">
        <f aca="false">(1+indexation_prix)^(K$4-annee_debut)</f>
        <v>1</v>
      </c>
      <c r="L14" s="57" t="n">
        <f aca="false">(1+indexation_prix)^(L$4-annee_debut)</f>
        <v>1</v>
      </c>
      <c r="M14" s="57" t="n">
        <f aca="false">(1+indexation_prix)^(M$4-annee_debut)</f>
        <v>1</v>
      </c>
      <c r="N14" s="57" t="n">
        <f aca="false">(1+indexation_prix)^(N$4-annee_debut)</f>
        <v>1</v>
      </c>
      <c r="O14" s="57" t="n">
        <f aca="false">(1+indexation_prix)^(O$4-annee_debut)</f>
        <v>1</v>
      </c>
      <c r="P14" s="57" t="n">
        <f aca="false">(1+indexation_prix)^(P$4-annee_debut)</f>
        <v>1.02</v>
      </c>
      <c r="Q14" s="57" t="n">
        <f aca="false">(1+indexation_prix)^(Q$4-annee_debut)</f>
        <v>1.02</v>
      </c>
      <c r="R14" s="57" t="n">
        <f aca="false">(1+indexation_prix)^(R$4-annee_debut)</f>
        <v>1.02</v>
      </c>
      <c r="S14" s="57" t="n">
        <f aca="false">(1+indexation_prix)^(S$4-annee_debut)</f>
        <v>1.02</v>
      </c>
      <c r="T14" s="57" t="n">
        <f aca="false">(1+indexation_prix)^(T$4-annee_debut)</f>
        <v>1.02</v>
      </c>
      <c r="U14" s="57" t="n">
        <f aca="false">(1+indexation_prix)^(U$4-annee_debut)</f>
        <v>1.02</v>
      </c>
      <c r="V14" s="57" t="n">
        <f aca="false">(1+indexation_prix)^(V$4-annee_debut)</f>
        <v>1.02</v>
      </c>
      <c r="W14" s="57" t="n">
        <f aca="false">(1+indexation_prix)^(W$4-annee_debut)</f>
        <v>1.02</v>
      </c>
      <c r="X14" s="57" t="n">
        <f aca="false">(1+indexation_prix)^(X$4-annee_debut)</f>
        <v>1.02</v>
      </c>
      <c r="Y14" s="57" t="n">
        <f aca="false">(1+indexation_prix)^(Y$4-annee_debut)</f>
        <v>1.02</v>
      </c>
      <c r="Z14" s="57" t="n">
        <f aca="false">(1+indexation_prix)^(Z$4-annee_debut)</f>
        <v>1.02</v>
      </c>
      <c r="AA14" s="57" t="n">
        <f aca="false">(1+indexation_prix)^(AA$4-annee_debut)</f>
        <v>1.02</v>
      </c>
      <c r="AB14" s="57" t="n">
        <f aca="false">(1+indexation_prix)^(AB$4-annee_debut)</f>
        <v>1.0404</v>
      </c>
      <c r="AC14" s="57" t="n">
        <f aca="false">(1+indexation_prix)^(AC$4-annee_debut)</f>
        <v>1.0404</v>
      </c>
      <c r="AD14" s="57" t="n">
        <f aca="false">(1+indexation_prix)^(AD$4-annee_debut)</f>
        <v>1.0404</v>
      </c>
      <c r="AE14" s="57" t="n">
        <f aca="false">(1+indexation_prix)^(AE$4-annee_debut)</f>
        <v>1.0404</v>
      </c>
      <c r="AF14" s="57" t="n">
        <f aca="false">(1+indexation_prix)^(AF$4-annee_debut)</f>
        <v>1.0404</v>
      </c>
      <c r="AG14" s="57" t="n">
        <f aca="false">(1+indexation_prix)^(AG$4-annee_debut)</f>
        <v>1.0404</v>
      </c>
      <c r="AH14" s="57" t="n">
        <f aca="false">(1+indexation_prix)^(AH$4-annee_debut)</f>
        <v>1.0404</v>
      </c>
      <c r="AI14" s="57" t="n">
        <f aca="false">(1+indexation_prix)^(AI$4-annee_debut)</f>
        <v>1.0404</v>
      </c>
      <c r="AJ14" s="57" t="n">
        <f aca="false">(1+indexation_prix)^(AJ$4-annee_debut)</f>
        <v>1.0404</v>
      </c>
      <c r="AK14" s="57" t="n">
        <f aca="false">(1+indexation_prix)^(AK$4-annee_debut)</f>
        <v>1.0404</v>
      </c>
      <c r="AL14" s="57" t="n">
        <f aca="false">(1+indexation_prix)^(AL$4-annee_debut)</f>
        <v>1.0404</v>
      </c>
      <c r="AM14" s="57" t="n">
        <f aca="false">(1+indexation_prix)^(AM$4-annee_debut)</f>
        <v>1.0404</v>
      </c>
    </row>
    <row r="15" customFormat="false" ht="15" hidden="false" customHeight="false" outlineLevel="0" collapsed="false">
      <c r="A15" s="10" t="s">
        <v>393</v>
      </c>
      <c r="B15" s="13" t="s">
        <v>390</v>
      </c>
      <c r="C15" s="56" t="n">
        <v>0</v>
      </c>
      <c r="D15" s="57" t="n">
        <f aca="false">(1+inflation_couts)^(D$4-annee_debut)</f>
        <v>1</v>
      </c>
      <c r="E15" s="57" t="n">
        <f aca="false">(1+inflation_couts)^(E$4-annee_debut)</f>
        <v>1</v>
      </c>
      <c r="F15" s="57" t="n">
        <f aca="false">(1+inflation_couts)^(F$4-annee_debut)</f>
        <v>1</v>
      </c>
      <c r="G15" s="57" t="n">
        <f aca="false">(1+inflation_couts)^(G$4-annee_debut)</f>
        <v>1</v>
      </c>
      <c r="H15" s="57" t="n">
        <f aca="false">(1+inflation_couts)^(H$4-annee_debut)</f>
        <v>1</v>
      </c>
      <c r="I15" s="57" t="n">
        <f aca="false">(1+inflation_couts)^(I$4-annee_debut)</f>
        <v>1</v>
      </c>
      <c r="J15" s="57" t="n">
        <f aca="false">(1+inflation_couts)^(J$4-annee_debut)</f>
        <v>1</v>
      </c>
      <c r="K15" s="57" t="n">
        <f aca="false">(1+inflation_couts)^(K$4-annee_debut)</f>
        <v>1</v>
      </c>
      <c r="L15" s="57" t="n">
        <f aca="false">(1+inflation_couts)^(L$4-annee_debut)</f>
        <v>1</v>
      </c>
      <c r="M15" s="57" t="n">
        <f aca="false">(1+inflation_couts)^(M$4-annee_debut)</f>
        <v>1</v>
      </c>
      <c r="N15" s="57" t="n">
        <f aca="false">(1+inflation_couts)^(N$4-annee_debut)</f>
        <v>1</v>
      </c>
      <c r="O15" s="57" t="n">
        <f aca="false">(1+inflation_couts)^(O$4-annee_debut)</f>
        <v>1</v>
      </c>
      <c r="P15" s="57" t="n">
        <f aca="false">(1+inflation_couts)^(P$4-annee_debut)</f>
        <v>1.02</v>
      </c>
      <c r="Q15" s="57" t="n">
        <f aca="false">(1+inflation_couts)^(Q$4-annee_debut)</f>
        <v>1.02</v>
      </c>
      <c r="R15" s="57" t="n">
        <f aca="false">(1+inflation_couts)^(R$4-annee_debut)</f>
        <v>1.02</v>
      </c>
      <c r="S15" s="57" t="n">
        <f aca="false">(1+inflation_couts)^(S$4-annee_debut)</f>
        <v>1.02</v>
      </c>
      <c r="T15" s="57" t="n">
        <f aca="false">(1+inflation_couts)^(T$4-annee_debut)</f>
        <v>1.02</v>
      </c>
      <c r="U15" s="57" t="n">
        <f aca="false">(1+inflation_couts)^(U$4-annee_debut)</f>
        <v>1.02</v>
      </c>
      <c r="V15" s="57" t="n">
        <f aca="false">(1+inflation_couts)^(V$4-annee_debut)</f>
        <v>1.02</v>
      </c>
      <c r="W15" s="57" t="n">
        <f aca="false">(1+inflation_couts)^(W$4-annee_debut)</f>
        <v>1.02</v>
      </c>
      <c r="X15" s="57" t="n">
        <f aca="false">(1+inflation_couts)^(X$4-annee_debut)</f>
        <v>1.02</v>
      </c>
      <c r="Y15" s="57" t="n">
        <f aca="false">(1+inflation_couts)^(Y$4-annee_debut)</f>
        <v>1.02</v>
      </c>
      <c r="Z15" s="57" t="n">
        <f aca="false">(1+inflation_couts)^(Z$4-annee_debut)</f>
        <v>1.02</v>
      </c>
      <c r="AA15" s="57" t="n">
        <f aca="false">(1+inflation_couts)^(AA$4-annee_debut)</f>
        <v>1.02</v>
      </c>
      <c r="AB15" s="57" t="n">
        <f aca="false">(1+inflation_couts)^(AB$4-annee_debut)</f>
        <v>1.0404</v>
      </c>
      <c r="AC15" s="57" t="n">
        <f aca="false">(1+inflation_couts)^(AC$4-annee_debut)</f>
        <v>1.0404</v>
      </c>
      <c r="AD15" s="57" t="n">
        <f aca="false">(1+inflation_couts)^(AD$4-annee_debut)</f>
        <v>1.0404</v>
      </c>
      <c r="AE15" s="57" t="n">
        <f aca="false">(1+inflation_couts)^(AE$4-annee_debut)</f>
        <v>1.0404</v>
      </c>
      <c r="AF15" s="57" t="n">
        <f aca="false">(1+inflation_couts)^(AF$4-annee_debut)</f>
        <v>1.0404</v>
      </c>
      <c r="AG15" s="57" t="n">
        <f aca="false">(1+inflation_couts)^(AG$4-annee_debut)</f>
        <v>1.0404</v>
      </c>
      <c r="AH15" s="57" t="n">
        <f aca="false">(1+inflation_couts)^(AH$4-annee_debut)</f>
        <v>1.0404</v>
      </c>
      <c r="AI15" s="57" t="n">
        <f aca="false">(1+inflation_couts)^(AI$4-annee_debut)</f>
        <v>1.0404</v>
      </c>
      <c r="AJ15" s="57" t="n">
        <f aca="false">(1+inflation_couts)^(AJ$4-annee_debut)</f>
        <v>1.0404</v>
      </c>
      <c r="AK15" s="57" t="n">
        <f aca="false">(1+inflation_couts)^(AK$4-annee_debut)</f>
        <v>1.0404</v>
      </c>
      <c r="AL15" s="57" t="n">
        <f aca="false">(1+inflation_couts)^(AL$4-annee_debut)</f>
        <v>1.0404</v>
      </c>
      <c r="AM15" s="57" t="n">
        <f aca="false">(1+inflation_couts)^(AM$4-annee_debut)</f>
        <v>1.0404</v>
      </c>
    </row>
    <row r="16" customFormat="false" ht="15" hidden="false" customHeight="false" outlineLevel="0" collapsed="false">
      <c r="A16" s="5" t="s">
        <v>224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</row>
    <row r="17" customFormat="false" ht="15" hidden="false" customHeight="false" outlineLevel="0" collapsed="false">
      <c r="A17" s="10" t="s">
        <v>260</v>
      </c>
      <c r="B17" s="13" t="s">
        <v>71</v>
      </c>
      <c r="C17" s="50" t="n">
        <v>0</v>
      </c>
      <c r="D17" s="45" t="n">
        <f aca="false">D13*prix_rotation_a*D14</f>
        <v>1215.24</v>
      </c>
      <c r="E17" s="45" t="n">
        <f aca="false">E13*prix_rotation_a*E14</f>
        <v>3635.99808</v>
      </c>
      <c r="F17" s="45" t="n">
        <f aca="false">F13*prix_rotation_a*F14</f>
        <v>6355.1474688</v>
      </c>
      <c r="G17" s="45" t="n">
        <f aca="false">G13*prix_rotation_a*G14</f>
        <v>9039.96041483059</v>
      </c>
      <c r="H17" s="45" t="n">
        <f aca="false">H13*prix_rotation_a*H14</f>
        <v>11917.7148706741</v>
      </c>
      <c r="I17" s="45" t="n">
        <f aca="false">I13*prix_rotation_a*I14</f>
        <v>14923.2272417575</v>
      </c>
      <c r="J17" s="45" t="n">
        <f aca="false">J13*prix_rotation_a*J14</f>
        <v>17078.943606495</v>
      </c>
      <c r="K17" s="45" t="n">
        <f aca="false">K13*prix_rotation_a*K14</f>
        <v>14955.1482343947</v>
      </c>
      <c r="L17" s="45" t="n">
        <f aca="false">L13*prix_rotation_a*L14</f>
        <v>22157.9230011819</v>
      </c>
      <c r="M17" s="45" t="n">
        <f aca="false">M13*prix_rotation_a*M14</f>
        <v>24197.1323863692</v>
      </c>
      <c r="N17" s="45" t="n">
        <f aca="false">N13*prix_rotation_a*N14</f>
        <v>25862.8226478429</v>
      </c>
      <c r="O17" s="45" t="n">
        <f aca="false">O13*prix_rotation_a*O14</f>
        <v>28778.6064679934</v>
      </c>
      <c r="P17" s="45" t="n">
        <f aca="false">P13*prix_rotation_a*P14</f>
        <v>30839.5931354369</v>
      </c>
      <c r="Q17" s="45" t="n">
        <f aca="false">Q13*prix_rotation_a*Q14</f>
        <v>35551.0555903535</v>
      </c>
      <c r="R17" s="45" t="n">
        <f aca="false">R13*prix_rotation_a*R14</f>
        <v>42341.9224690849</v>
      </c>
      <c r="S17" s="45" t="n">
        <f aca="false">S13*prix_rotation_a*S14</f>
        <v>48166.7695511188</v>
      </c>
      <c r="T17" s="45" t="n">
        <f aca="false">T13*prix_rotation_a*T14</f>
        <v>54666.8645298484</v>
      </c>
      <c r="U17" s="45" t="n">
        <f aca="false">U13*prix_rotation_a*U14</f>
        <v>61415.611625427</v>
      </c>
      <c r="V17" s="45" t="n">
        <f aca="false">V13*prix_rotation_a*V14</f>
        <v>64712.0382343008</v>
      </c>
      <c r="W17" s="45" t="n">
        <f aca="false">W13*prix_rotation_a*W14</f>
        <v>53085.2836026106</v>
      </c>
      <c r="X17" s="45" t="n">
        <f aca="false">X13*prix_rotation_a*X14</f>
        <v>74597.1320505989</v>
      </c>
      <c r="Y17" s="45" t="n">
        <f aca="false">Y13*prix_rotation_a*Y14</f>
        <v>77966.5345028762</v>
      </c>
      <c r="Z17" s="45" t="n">
        <f aca="false">Z13*prix_rotation_a*Z14</f>
        <v>80309.235249372</v>
      </c>
      <c r="AA17" s="45" t="n">
        <f aca="false">AA13*prix_rotation_a*AA14</f>
        <v>86583.6153147246</v>
      </c>
      <c r="AB17" s="45" t="n">
        <f aca="false">AB13*prix_rotation_a*AB14</f>
        <v>87707.3549365964</v>
      </c>
      <c r="AC17" s="45" t="n">
        <f aca="false">AC13*prix_rotation_a*AC14</f>
        <v>94170.2650411037</v>
      </c>
      <c r="AD17" s="45" t="n">
        <f aca="false">AD13*prix_rotation_a*AD14</f>
        <v>105875.233541868</v>
      </c>
      <c r="AE17" s="45" t="n">
        <f aca="false">AE13*prix_rotation_a*AE14</f>
        <v>114821.280857404</v>
      </c>
      <c r="AF17" s="45" t="n">
        <f aca="false">AF13*prix_rotation_a*AF14</f>
        <v>125171.524430384</v>
      </c>
      <c r="AG17" s="45" t="n">
        <f aca="false">AG13*prix_rotation_a*AG14</f>
        <v>135862.854511825</v>
      </c>
      <c r="AH17" s="45" t="n">
        <f aca="false">AH13*prix_rotation_a*AH14</f>
        <v>138950.909336294</v>
      </c>
      <c r="AI17" s="45" t="n">
        <f aca="false">AI13*prix_rotation_a*AI14</f>
        <v>111053.741834364</v>
      </c>
      <c r="AJ17" s="45" t="n">
        <f aca="false">AJ13*prix_rotation_a*AJ14</f>
        <v>152510.705964342</v>
      </c>
      <c r="AK17" s="45" t="n">
        <f aca="false">AK13*prix_rotation_a*AK14</f>
        <v>156176.795280959</v>
      </c>
      <c r="AL17" s="45" t="n">
        <f aca="false">AL13*prix_rotation_a*AL14</f>
        <v>157956.584450787</v>
      </c>
      <c r="AM17" s="45" t="n">
        <f aca="false">AM13*prix_rotation_a*AM14</f>
        <v>167519.274961085</v>
      </c>
      <c r="AO17" s="45" t="n">
        <f aca="false">SUMIF($D$4:$AM$4,AO$4,$D17:$AM17)</f>
        <v>180117.864420339</v>
      </c>
      <c r="AP17" s="45" t="n">
        <f aca="false">SUMIF($D$4:$AM$4,AP$4,$D17:$AM17)</f>
        <v>710235.655855753</v>
      </c>
      <c r="AQ17" s="45" t="n">
        <f aca="false">SUMIF($D$4:$AM$4,AQ$4,$D17:$AM17)</f>
        <v>1547776.52514701</v>
      </c>
    </row>
    <row r="18" customFormat="false" ht="15" hidden="false" customHeight="false" outlineLevel="0" collapsed="false">
      <c r="A18" s="10" t="s">
        <v>261</v>
      </c>
      <c r="B18" s="13" t="s">
        <v>71</v>
      </c>
      <c r="C18" s="50" t="n">
        <v>0</v>
      </c>
      <c r="D18" s="45" t="n">
        <f aca="false">D11*abonnement_a*D14</f>
        <v>117</v>
      </c>
      <c r="E18" s="45" t="n">
        <f aca="false">E11*abonnement_a*E14</f>
        <v>350.064</v>
      </c>
      <c r="F18" s="45" t="n">
        <f aca="false">F11*abonnement_a*F14</f>
        <v>581.263488</v>
      </c>
      <c r="G18" s="45" t="n">
        <f aca="false">G11*abonnement_a*G14</f>
        <v>810.613380096</v>
      </c>
      <c r="H18" s="45" t="n">
        <f aca="false">H11*abonnement_a*H14</f>
        <v>1038.12847305523</v>
      </c>
      <c r="I18" s="45" t="n">
        <f aca="false">I11*abonnement_a*I14</f>
        <v>1263.82344527079</v>
      </c>
      <c r="J18" s="45" t="n">
        <f aca="false">J11*abonnement_a*J14</f>
        <v>1487.71285770862</v>
      </c>
      <c r="K18" s="45" t="n">
        <f aca="false">K11*abonnement_a*K14</f>
        <v>1709.81115484695</v>
      </c>
      <c r="L18" s="45" t="n">
        <f aca="false">L11*abonnement_a*L14</f>
        <v>1930.13266560818</v>
      </c>
      <c r="M18" s="45" t="n">
        <f aca="false">M11*abonnement_a*M14</f>
        <v>2148.69160428331</v>
      </c>
      <c r="N18" s="45" t="n">
        <f aca="false">N11*abonnement_a*N14</f>
        <v>2365.50207144905</v>
      </c>
      <c r="O18" s="45" t="n">
        <f aca="false">O11*abonnement_a*O14</f>
        <v>2580.57805487745</v>
      </c>
      <c r="P18" s="45" t="n">
        <f aca="false">P11*abonnement_a*P14</f>
        <v>2969.1520990472</v>
      </c>
      <c r="Q18" s="45" t="n">
        <f aca="false">Q11*abonnement_a*Q14</f>
        <v>3422.75888225483</v>
      </c>
      <c r="R18" s="45" t="n">
        <f aca="false">R11*abonnement_a*R14</f>
        <v>3872.73681119679</v>
      </c>
      <c r="S18" s="45" t="n">
        <f aca="false">S11*abonnement_a*S14</f>
        <v>4319.11491670721</v>
      </c>
      <c r="T18" s="45" t="n">
        <f aca="false">T11*abonnement_a*T14</f>
        <v>4761.92199737356</v>
      </c>
      <c r="U18" s="45" t="n">
        <f aca="false">U11*abonnement_a*U14</f>
        <v>5201.18662139457</v>
      </c>
      <c r="V18" s="45" t="n">
        <f aca="false">V11*abonnement_a*V14</f>
        <v>5636.93712842341</v>
      </c>
      <c r="W18" s="45" t="n">
        <f aca="false">W11*abonnement_a*W14</f>
        <v>6069.20163139602</v>
      </c>
      <c r="X18" s="45" t="n">
        <f aca="false">X11*abonnement_a*X14</f>
        <v>6498.00801834485</v>
      </c>
      <c r="Y18" s="45" t="n">
        <f aca="false">Y11*abonnement_a*Y14</f>
        <v>6923.3839541981</v>
      </c>
      <c r="Z18" s="45" t="n">
        <f aca="false">Z11*abonnement_a*Z14</f>
        <v>7345.35688256451</v>
      </c>
      <c r="AA18" s="45" t="n">
        <f aca="false">AA11*abonnement_a*AA14</f>
        <v>7763.954027504</v>
      </c>
      <c r="AB18" s="45" t="n">
        <f aca="false">AB11*abonnement_a*AB14</f>
        <v>8444.22544318964</v>
      </c>
      <c r="AC18" s="45" t="n">
        <f aca="false">AC11*abonnement_a*AC14</f>
        <v>9066.45683964413</v>
      </c>
      <c r="AD18" s="45" t="n">
        <f aca="false">AD11*abonnement_a*AD14</f>
        <v>9683.71038492697</v>
      </c>
      <c r="AE18" s="45" t="n">
        <f aca="false">AE11*abonnement_a*AE14</f>
        <v>10296.0259018476</v>
      </c>
      <c r="AF18" s="45" t="n">
        <f aca="false">AF11*abonnement_a*AF14</f>
        <v>10903.4428946328</v>
      </c>
      <c r="AG18" s="45" t="n">
        <f aca="false">AG11*abonnement_a*AG14</f>
        <v>11506.0005514757</v>
      </c>
      <c r="AH18" s="45" t="n">
        <f aca="false">AH11*abonnement_a*AH14</f>
        <v>12103.7377470639</v>
      </c>
      <c r="AI18" s="45" t="n">
        <f aca="false">AI11*abonnement_a*AI14</f>
        <v>12696.6930450874</v>
      </c>
      <c r="AJ18" s="45" t="n">
        <f aca="false">AJ11*abonnement_a*AJ14</f>
        <v>13284.9047007267</v>
      </c>
      <c r="AK18" s="45" t="n">
        <f aca="false">AK11*abonnement_a*AK14</f>
        <v>13868.4106631209</v>
      </c>
      <c r="AL18" s="45" t="n">
        <f aca="false">AL11*abonnement_a*AL14</f>
        <v>14447.2485778159</v>
      </c>
      <c r="AM18" s="45" t="n">
        <f aca="false">AM11*abonnement_a*AM14</f>
        <v>15021.4557891934</v>
      </c>
      <c r="AO18" s="45" t="n">
        <f aca="false">SUMIF($D$4:$AM$4,AO$4,$D18:$AM18)</f>
        <v>16383.3211951956</v>
      </c>
      <c r="AP18" s="45" t="n">
        <f aca="false">SUMIF($D$4:$AM$4,AP$4,$D18:$AM18)</f>
        <v>64783.712970405</v>
      </c>
      <c r="AQ18" s="45" t="n">
        <f aca="false">SUMIF($D$4:$AM$4,AQ$4,$D18:$AM18)</f>
        <v>141322.312538725</v>
      </c>
    </row>
    <row r="19" customFormat="false" ht="15" hidden="false" customHeight="false" outlineLevel="0" collapsed="false">
      <c r="A19" s="11" t="s">
        <v>224</v>
      </c>
      <c r="B19" s="13" t="s">
        <v>71</v>
      </c>
      <c r="C19" s="50" t="n">
        <v>0</v>
      </c>
      <c r="D19" s="44" t="n">
        <f aca="false">D17+D18</f>
        <v>1332.24</v>
      </c>
      <c r="E19" s="44" t="n">
        <f aca="false">E17+E18</f>
        <v>3986.06208</v>
      </c>
      <c r="F19" s="44" t="n">
        <f aca="false">F17+F18</f>
        <v>6936.4109568</v>
      </c>
      <c r="G19" s="44" t="n">
        <f aca="false">G17+G18</f>
        <v>9850.57379492659</v>
      </c>
      <c r="H19" s="44" t="n">
        <f aca="false">H17+H18</f>
        <v>12955.8433437293</v>
      </c>
      <c r="I19" s="44" t="n">
        <f aca="false">I17+I18</f>
        <v>16187.0506870283</v>
      </c>
      <c r="J19" s="44" t="n">
        <f aca="false">J17+J18</f>
        <v>18566.6564642036</v>
      </c>
      <c r="K19" s="44" t="n">
        <f aca="false">K17+K18</f>
        <v>16664.9593892417</v>
      </c>
      <c r="L19" s="44" t="n">
        <f aca="false">L17+L18</f>
        <v>24088.0556667901</v>
      </c>
      <c r="M19" s="44" t="n">
        <f aca="false">M17+M18</f>
        <v>26345.8239906525</v>
      </c>
      <c r="N19" s="44" t="n">
        <f aca="false">N17+N18</f>
        <v>28228.324719292</v>
      </c>
      <c r="O19" s="44" t="n">
        <f aca="false">O17+O18</f>
        <v>31359.1845228708</v>
      </c>
      <c r="P19" s="44" t="n">
        <f aca="false">P17+P18</f>
        <v>33808.7452344842</v>
      </c>
      <c r="Q19" s="44" t="n">
        <f aca="false">Q17+Q18</f>
        <v>38973.8144726083</v>
      </c>
      <c r="R19" s="44" t="n">
        <f aca="false">R17+R18</f>
        <v>46214.6592802817</v>
      </c>
      <c r="S19" s="44" t="n">
        <f aca="false">S17+S18</f>
        <v>52485.8844678261</v>
      </c>
      <c r="T19" s="44" t="n">
        <f aca="false">T17+T18</f>
        <v>59428.786527222</v>
      </c>
      <c r="U19" s="44" t="n">
        <f aca="false">U17+U18</f>
        <v>66616.7982468216</v>
      </c>
      <c r="V19" s="44" t="n">
        <f aca="false">V17+V18</f>
        <v>70348.9753627242</v>
      </c>
      <c r="W19" s="44" t="n">
        <f aca="false">W17+W18</f>
        <v>59154.4852340066</v>
      </c>
      <c r="X19" s="44" t="n">
        <f aca="false">X17+X18</f>
        <v>81095.1400689438</v>
      </c>
      <c r="Y19" s="44" t="n">
        <f aca="false">Y17+Y18</f>
        <v>84889.9184570743</v>
      </c>
      <c r="Z19" s="44" t="n">
        <f aca="false">Z17+Z18</f>
        <v>87654.5921319365</v>
      </c>
      <c r="AA19" s="44" t="n">
        <f aca="false">AA17+AA18</f>
        <v>94347.5693422286</v>
      </c>
      <c r="AB19" s="44" t="n">
        <f aca="false">AB17+AB18</f>
        <v>96151.5803797861</v>
      </c>
      <c r="AC19" s="44" t="n">
        <f aca="false">AC17+AC18</f>
        <v>103236.721880748</v>
      </c>
      <c r="AD19" s="44" t="n">
        <f aca="false">AD17+AD18</f>
        <v>115558.943926795</v>
      </c>
      <c r="AE19" s="44" t="n">
        <f aca="false">AE17+AE18</f>
        <v>125117.306759252</v>
      </c>
      <c r="AF19" s="44" t="n">
        <f aca="false">AF17+AF18</f>
        <v>136074.967325017</v>
      </c>
      <c r="AG19" s="44" t="n">
        <f aca="false">AG17+AG18</f>
        <v>147368.855063301</v>
      </c>
      <c r="AH19" s="44" t="n">
        <f aca="false">AH17+AH18</f>
        <v>151054.647083358</v>
      </c>
      <c r="AI19" s="44" t="n">
        <f aca="false">AI17+AI18</f>
        <v>123750.434879452</v>
      </c>
      <c r="AJ19" s="44" t="n">
        <f aca="false">AJ17+AJ18</f>
        <v>165795.610665069</v>
      </c>
      <c r="AK19" s="44" t="n">
        <f aca="false">AK17+AK18</f>
        <v>170045.20594408</v>
      </c>
      <c r="AL19" s="44" t="n">
        <f aca="false">AL17+AL18</f>
        <v>172403.833028603</v>
      </c>
      <c r="AM19" s="44" t="n">
        <f aca="false">AM17+AM18</f>
        <v>182540.730750278</v>
      </c>
      <c r="AO19" s="44" t="n">
        <f aca="false">SUMIF($D$4:$AM$4,AO$4,$D19:$AM19)</f>
        <v>196501.185615535</v>
      </c>
      <c r="AP19" s="44" t="n">
        <f aca="false">SUMIF($D$4:$AM$4,AP$4,$D19:$AM19)</f>
        <v>775019.368826158</v>
      </c>
      <c r="AQ19" s="44" t="n">
        <f aca="false">SUMIF($D$4:$AM$4,AQ$4,$D19:$AM19)</f>
        <v>1689098.83768574</v>
      </c>
    </row>
    <row r="20" customFormat="false" ht="15" hidden="false" customHeight="false" outlineLevel="0" collapsed="false">
      <c r="A20" s="5" t="s">
        <v>394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</row>
    <row r="21" customFormat="false" ht="15" hidden="false" customHeight="false" outlineLevel="0" collapsed="false">
      <c r="A21" s="10" t="s">
        <v>395</v>
      </c>
      <c r="B21" s="13" t="s">
        <v>71</v>
      </c>
      <c r="C21" s="50" t="n">
        <v>0</v>
      </c>
      <c r="D21" s="45" t="n">
        <f aca="false">D13*cout_lavage_a*D15</f>
        <v>116.85</v>
      </c>
      <c r="E21" s="45" t="n">
        <f aca="false">E13*cout_lavage_a*E15</f>
        <v>349.6152</v>
      </c>
      <c r="F21" s="45" t="n">
        <f aca="false">F13*cout_lavage_a*F15</f>
        <v>611.071872</v>
      </c>
      <c r="G21" s="45" t="n">
        <f aca="false">G13*cout_lavage_a*G15</f>
        <v>869.22696296448</v>
      </c>
      <c r="H21" s="45" t="n">
        <f aca="false">H13*cout_lavage_a*H15</f>
        <v>1145.9341221802</v>
      </c>
      <c r="I21" s="45" t="n">
        <f aca="false">I13*cout_lavage_a*I15</f>
        <v>1434.92569632284</v>
      </c>
      <c r="J21" s="45" t="n">
        <f aca="false">J13*cout_lavage_a*J15</f>
        <v>1642.20611600913</v>
      </c>
      <c r="K21" s="45" t="n">
        <f aca="false">K13*cout_lavage_a*K15</f>
        <v>1437.99502253795</v>
      </c>
      <c r="L21" s="45" t="n">
        <f aca="false">L13*cout_lavage_a*L15</f>
        <v>2130.56951934441</v>
      </c>
      <c r="M21" s="45" t="n">
        <f aca="false">M13*cout_lavage_a*M15</f>
        <v>2326.64734484319</v>
      </c>
      <c r="N21" s="45" t="n">
        <f aca="false">N13*cout_lavage_a*N15</f>
        <v>2486.8098699849</v>
      </c>
      <c r="O21" s="45" t="n">
        <f aca="false">O13*cout_lavage_a*O15</f>
        <v>2767.17369884552</v>
      </c>
      <c r="P21" s="45" t="n">
        <f aca="false">P13*cout_lavage_a*P15</f>
        <v>2965.34549379201</v>
      </c>
      <c r="Q21" s="45" t="n">
        <f aca="false">Q13*cout_lavage_a*Q15</f>
        <v>3418.37072984168</v>
      </c>
      <c r="R21" s="45" t="n">
        <f aca="false">R13*cout_lavage_a*R15</f>
        <v>4071.33869895047</v>
      </c>
      <c r="S21" s="45" t="n">
        <f aca="false">S13*cout_lavage_a*S15</f>
        <v>4631.42014914604</v>
      </c>
      <c r="T21" s="45" t="n">
        <f aca="false">T13*cout_lavage_a*T15</f>
        <v>5256.42928171619</v>
      </c>
      <c r="U21" s="45" t="n">
        <f aca="false">U13*cout_lavage_a*U15</f>
        <v>5905.34727167568</v>
      </c>
      <c r="V21" s="45" t="n">
        <f aca="false">V13*cout_lavage_a*V15</f>
        <v>6222.31136868277</v>
      </c>
      <c r="W21" s="45" t="n">
        <f aca="false">W13*cout_lavage_a*W15</f>
        <v>5104.35419255871</v>
      </c>
      <c r="X21" s="45" t="n">
        <f aca="false">X13*cout_lavage_a*X15</f>
        <v>7172.80115871144</v>
      </c>
      <c r="Y21" s="45" t="n">
        <f aca="false">Y13*cout_lavage_a*Y15</f>
        <v>7496.78216373809</v>
      </c>
      <c r="Z21" s="45" t="n">
        <f aca="false">Z13*cout_lavage_a*Z15</f>
        <v>7722.04185090115</v>
      </c>
      <c r="AA21" s="45" t="n">
        <f aca="false">AA13*cout_lavage_a*AA15</f>
        <v>8325.34762641582</v>
      </c>
      <c r="AB21" s="45" t="n">
        <f aca="false">AB13*cout_lavage_a*AB15</f>
        <v>8433.39951313427</v>
      </c>
      <c r="AC21" s="45" t="n">
        <f aca="false">AC13*cout_lavage_a*AC15</f>
        <v>9054.8331770292</v>
      </c>
      <c r="AD21" s="45" t="n">
        <f aca="false">AD13*cout_lavage_a*AD15</f>
        <v>10180.3109174873</v>
      </c>
      <c r="AE21" s="45" t="n">
        <f aca="false">AE13*cout_lavage_a*AE15</f>
        <v>11040.5077747504</v>
      </c>
      <c r="AF21" s="45" t="n">
        <f aca="false">AF13*cout_lavage_a*AF15</f>
        <v>12035.7235029216</v>
      </c>
      <c r="AG21" s="45" t="n">
        <f aca="false">AG13*cout_lavage_a*AG15</f>
        <v>13063.7360107524</v>
      </c>
      <c r="AH21" s="45" t="n">
        <f aca="false">AH13*cout_lavage_a*AH15</f>
        <v>13360.664359259</v>
      </c>
      <c r="AI21" s="45" t="n">
        <f aca="false">AI13*cout_lavage_a*AI15</f>
        <v>10678.2444071504</v>
      </c>
      <c r="AJ21" s="45" t="n">
        <f aca="false">AJ13*cout_lavage_a*AJ15</f>
        <v>14664.4909581099</v>
      </c>
      <c r="AK21" s="45" t="n">
        <f aca="false">AK13*cout_lavage_a*AK15</f>
        <v>15016.999546246</v>
      </c>
      <c r="AL21" s="45" t="n">
        <f aca="false">AL13*cout_lavage_a*AL15</f>
        <v>15188.133120268</v>
      </c>
      <c r="AM21" s="45" t="n">
        <f aca="false">AM13*cout_lavage_a*AM15</f>
        <v>16107.622592412</v>
      </c>
      <c r="AO21" s="45" t="n">
        <f aca="false">SUMIF($D$4:$AM$4,AO$4,$D21:$AM21)</f>
        <v>17319.0254250326</v>
      </c>
      <c r="AP21" s="45" t="n">
        <f aca="false">SUMIF($D$4:$AM$4,AP$4,$D21:$AM21)</f>
        <v>68291.8899861301</v>
      </c>
      <c r="AQ21" s="45" t="n">
        <f aca="false">SUMIF($D$4:$AM$4,AQ$4,$D21:$AM21)</f>
        <v>148824.665879521</v>
      </c>
    </row>
    <row r="22" customFormat="false" ht="15" hidden="false" customHeight="false" outlineLevel="0" collapsed="false">
      <c r="A22" s="10" t="s">
        <v>264</v>
      </c>
      <c r="B22" s="13" t="s">
        <v>71</v>
      </c>
      <c r="C22" s="50" t="n">
        <v>0</v>
      </c>
      <c r="D22" s="45" t="n">
        <f aca="false">D13*cout_logistique_a*D15</f>
        <v>186.96</v>
      </c>
      <c r="E22" s="45" t="n">
        <f aca="false">E13*cout_logistique_a*E15</f>
        <v>559.38432</v>
      </c>
      <c r="F22" s="45" t="n">
        <f aca="false">F13*cout_logistique_a*F15</f>
        <v>977.7149952</v>
      </c>
      <c r="G22" s="45" t="n">
        <f aca="false">G13*cout_logistique_a*G15</f>
        <v>1390.76314074317</v>
      </c>
      <c r="H22" s="45" t="n">
        <f aca="false">H13*cout_logistique_a*H15</f>
        <v>1833.49459548832</v>
      </c>
      <c r="I22" s="45" t="n">
        <f aca="false">I13*cout_logistique_a*I15</f>
        <v>2295.88111411654</v>
      </c>
      <c r="J22" s="45" t="n">
        <f aca="false">J13*cout_logistique_a*J15</f>
        <v>2627.52978561462</v>
      </c>
      <c r="K22" s="45" t="n">
        <f aca="false">K13*cout_logistique_a*K15</f>
        <v>2300.79203606072</v>
      </c>
      <c r="L22" s="45" t="n">
        <f aca="false">L13*cout_logistique_a*L15</f>
        <v>3408.91123095106</v>
      </c>
      <c r="M22" s="45" t="n">
        <f aca="false">M13*cout_logistique_a*M15</f>
        <v>3722.6357517491</v>
      </c>
      <c r="N22" s="45" t="n">
        <f aca="false">N13*cout_logistique_a*N15</f>
        <v>3978.89579197583</v>
      </c>
      <c r="O22" s="45" t="n">
        <f aca="false">O13*cout_logistique_a*O15</f>
        <v>4427.47791815283</v>
      </c>
      <c r="P22" s="45" t="n">
        <f aca="false">P13*cout_logistique_a*P15</f>
        <v>4744.55279006722</v>
      </c>
      <c r="Q22" s="45" t="n">
        <f aca="false">Q13*cout_logistique_a*Q15</f>
        <v>5469.39316774669</v>
      </c>
      <c r="R22" s="45" t="n">
        <f aca="false">R13*cout_logistique_a*R15</f>
        <v>6514.14191832075</v>
      </c>
      <c r="S22" s="45" t="n">
        <f aca="false">S13*cout_logistique_a*S15</f>
        <v>7410.27223863367</v>
      </c>
      <c r="T22" s="45" t="n">
        <f aca="false">T13*cout_logistique_a*T15</f>
        <v>8410.28685074591</v>
      </c>
      <c r="U22" s="45" t="n">
        <f aca="false">U13*cout_logistique_a*U15</f>
        <v>9448.55563468108</v>
      </c>
      <c r="V22" s="45" t="n">
        <f aca="false">V13*cout_logistique_a*V15</f>
        <v>9955.69818989242</v>
      </c>
      <c r="W22" s="45" t="n">
        <f aca="false">W13*cout_logistique_a*W15</f>
        <v>8166.96670809393</v>
      </c>
      <c r="X22" s="45" t="n">
        <f aca="false">X13*cout_logistique_a*X15</f>
        <v>11476.4818539383</v>
      </c>
      <c r="Y22" s="45" t="n">
        <f aca="false">Y13*cout_logistique_a*Y15</f>
        <v>11994.851461981</v>
      </c>
      <c r="Z22" s="45" t="n">
        <f aca="false">Z13*cout_logistique_a*Z15</f>
        <v>12355.2669614418</v>
      </c>
      <c r="AA22" s="45" t="n">
        <f aca="false">AA13*cout_logistique_a*AA15</f>
        <v>13320.5562022653</v>
      </c>
      <c r="AB22" s="45" t="n">
        <f aca="false">AB13*cout_logistique_a*AB15</f>
        <v>13493.4392210148</v>
      </c>
      <c r="AC22" s="45" t="n">
        <f aca="false">AC13*cout_logistique_a*AC15</f>
        <v>14487.7330832467</v>
      </c>
      <c r="AD22" s="45" t="n">
        <f aca="false">AD13*cout_logistique_a*AD15</f>
        <v>16288.4974679797</v>
      </c>
      <c r="AE22" s="45" t="n">
        <f aca="false">AE13*cout_logistique_a*AE15</f>
        <v>17664.8124396006</v>
      </c>
      <c r="AF22" s="45" t="n">
        <f aca="false">AF13*cout_logistique_a*AF15</f>
        <v>19257.1576046745</v>
      </c>
      <c r="AG22" s="45" t="n">
        <f aca="false">AG13*cout_logistique_a*AG15</f>
        <v>20901.9776172039</v>
      </c>
      <c r="AH22" s="45" t="n">
        <f aca="false">AH13*cout_logistique_a*AH15</f>
        <v>21377.0629748144</v>
      </c>
      <c r="AI22" s="45" t="n">
        <f aca="false">AI13*cout_logistique_a*AI15</f>
        <v>17085.1910514407</v>
      </c>
      <c r="AJ22" s="45" t="n">
        <f aca="false">AJ13*cout_logistique_a*AJ15</f>
        <v>23463.1855329758</v>
      </c>
      <c r="AK22" s="45" t="n">
        <f aca="false">AK13*cout_logistique_a*AK15</f>
        <v>24027.1992739936</v>
      </c>
      <c r="AL22" s="45" t="n">
        <f aca="false">AL13*cout_logistique_a*AL15</f>
        <v>24301.0129924288</v>
      </c>
      <c r="AM22" s="45" t="n">
        <f aca="false">AM13*cout_logistique_a*AM15</f>
        <v>25772.1961478592</v>
      </c>
      <c r="AO22" s="45" t="n">
        <f aca="false">SUMIF($D$4:$AM$4,AO$4,$D22:$AM22)</f>
        <v>27710.4406800522</v>
      </c>
      <c r="AP22" s="45" t="n">
        <f aca="false">SUMIF($D$4:$AM$4,AP$4,$D22:$AM22)</f>
        <v>109267.023977808</v>
      </c>
      <c r="AQ22" s="45" t="n">
        <f aca="false">SUMIF($D$4:$AM$4,AQ$4,$D22:$AM22)</f>
        <v>238119.465407233</v>
      </c>
    </row>
    <row r="23" customFormat="false" ht="15" hidden="false" customHeight="false" outlineLevel="0" collapsed="false">
      <c r="A23" s="10" t="s">
        <v>265</v>
      </c>
      <c r="B23" s="13" t="s">
        <v>71</v>
      </c>
      <c r="C23" s="50" t="n">
        <v>0</v>
      </c>
      <c r="D23" s="45" t="n">
        <f aca="false">D13*taux_perte_a*cout_contenant*D15</f>
        <v>77.121</v>
      </c>
      <c r="E23" s="45" t="n">
        <f aca="false">E13*taux_perte_a*cout_contenant*E15</f>
        <v>230.746032</v>
      </c>
      <c r="F23" s="45" t="n">
        <f aca="false">F13*taux_perte_a*cout_contenant*F15</f>
        <v>403.30743552</v>
      </c>
      <c r="G23" s="45" t="n">
        <f aca="false">G13*taux_perte_a*cout_contenant*G15</f>
        <v>573.689795556557</v>
      </c>
      <c r="H23" s="45" t="n">
        <f aca="false">H13*taux_perte_a*cout_contenant*H15</f>
        <v>756.316520638931</v>
      </c>
      <c r="I23" s="45" t="n">
        <f aca="false">I13*taux_perte_a*cout_contenant*I15</f>
        <v>947.050959573072</v>
      </c>
      <c r="J23" s="45" t="n">
        <f aca="false">J13*taux_perte_a*cout_contenant*J15</f>
        <v>1083.85603656603</v>
      </c>
      <c r="K23" s="45" t="n">
        <f aca="false">K13*taux_perte_a*cout_contenant*K15</f>
        <v>949.076714875048</v>
      </c>
      <c r="L23" s="45" t="n">
        <f aca="false">L13*taux_perte_a*cout_contenant*L15</f>
        <v>1406.17588276731</v>
      </c>
      <c r="M23" s="45" t="n">
        <f aca="false">M13*taux_perte_a*cout_contenant*M15</f>
        <v>1535.5872475965</v>
      </c>
      <c r="N23" s="45" t="n">
        <f aca="false">N13*taux_perte_a*cout_contenant*N15</f>
        <v>1641.29451419003</v>
      </c>
      <c r="O23" s="45" t="n">
        <f aca="false">O13*taux_perte_a*cout_contenant*O15</f>
        <v>1826.33464123804</v>
      </c>
      <c r="P23" s="45" t="n">
        <f aca="false">P13*taux_perte_a*cout_contenant*P15</f>
        <v>1957.12802590273</v>
      </c>
      <c r="Q23" s="45" t="n">
        <f aca="false">Q13*taux_perte_a*cout_contenant*Q15</f>
        <v>2256.12468169551</v>
      </c>
      <c r="R23" s="45" t="n">
        <f aca="false">R13*taux_perte_a*cout_contenant*R15</f>
        <v>2687.08354130731</v>
      </c>
      <c r="S23" s="45" t="n">
        <f aca="false">S13*taux_perte_a*cout_contenant*S15</f>
        <v>3056.73729843639</v>
      </c>
      <c r="T23" s="45" t="n">
        <f aca="false">T13*taux_perte_a*cout_contenant*T15</f>
        <v>3469.24332593269</v>
      </c>
      <c r="U23" s="45" t="n">
        <f aca="false">U13*taux_perte_a*cout_contenant*U15</f>
        <v>3897.52919930595</v>
      </c>
      <c r="V23" s="45" t="n">
        <f aca="false">V13*taux_perte_a*cout_contenant*V15</f>
        <v>4106.72550333063</v>
      </c>
      <c r="W23" s="45" t="n">
        <f aca="false">W13*taux_perte_a*cout_contenant*W15</f>
        <v>3368.87376708875</v>
      </c>
      <c r="X23" s="45" t="n">
        <f aca="false">X13*taux_perte_a*cout_contenant*X15</f>
        <v>4734.04876474955</v>
      </c>
      <c r="Y23" s="45" t="n">
        <f aca="false">Y13*taux_perte_a*cout_contenant*Y15</f>
        <v>4947.87622806714</v>
      </c>
      <c r="Z23" s="45" t="n">
        <f aca="false">Z13*taux_perte_a*cout_contenant*Z15</f>
        <v>5096.54762159476</v>
      </c>
      <c r="AA23" s="45" t="n">
        <f aca="false">AA13*taux_perte_a*cout_contenant*AA15</f>
        <v>5494.72943343444</v>
      </c>
      <c r="AB23" s="45" t="n">
        <f aca="false">AB13*taux_perte_a*cout_contenant*AB15</f>
        <v>5566.04367866862</v>
      </c>
      <c r="AC23" s="45" t="n">
        <f aca="false">AC13*taux_perte_a*cout_contenant*AC15</f>
        <v>5976.18989683927</v>
      </c>
      <c r="AD23" s="45" t="n">
        <f aca="false">AD13*taux_perte_a*cout_contenant*AD15</f>
        <v>6719.00520554164</v>
      </c>
      <c r="AE23" s="45" t="n">
        <f aca="false">AE13*taux_perte_a*cout_contenant*AE15</f>
        <v>7286.73513133525</v>
      </c>
      <c r="AF23" s="45" t="n">
        <f aca="false">AF13*taux_perte_a*cout_contenant*AF15</f>
        <v>7943.57751192823</v>
      </c>
      <c r="AG23" s="45" t="n">
        <f aca="false">AG13*taux_perte_a*cout_contenant*AG15</f>
        <v>8622.0657670966</v>
      </c>
      <c r="AH23" s="45" t="n">
        <f aca="false">AH13*taux_perte_a*cout_contenant*AH15</f>
        <v>8818.03847711095</v>
      </c>
      <c r="AI23" s="45" t="n">
        <f aca="false">AI13*taux_perte_a*cout_contenant*AI15</f>
        <v>7047.64130871928</v>
      </c>
      <c r="AJ23" s="45" t="n">
        <f aca="false">AJ13*taux_perte_a*cout_contenant*AJ15</f>
        <v>9678.5640323525</v>
      </c>
      <c r="AK23" s="45" t="n">
        <f aca="false">AK13*taux_perte_a*cout_contenant*AK15</f>
        <v>9911.21970052238</v>
      </c>
      <c r="AL23" s="45" t="n">
        <f aca="false">AL13*taux_perte_a*cout_contenant*AL15</f>
        <v>10024.1678593769</v>
      </c>
      <c r="AM23" s="45" t="n">
        <f aca="false">AM13*taux_perte_a*cout_contenant*AM15</f>
        <v>10631.0309109919</v>
      </c>
      <c r="AO23" s="45" t="n">
        <f aca="false">SUMIF($D$4:$AM$4,AO$4,$D23:$AM23)</f>
        <v>11430.5567805215</v>
      </c>
      <c r="AP23" s="45" t="n">
        <f aca="false">SUMIF($D$4:$AM$4,AP$4,$D23:$AM23)</f>
        <v>45072.6473908458</v>
      </c>
      <c r="AQ23" s="45" t="n">
        <f aca="false">SUMIF($D$4:$AM$4,AQ$4,$D23:$AM23)</f>
        <v>98224.2794804835</v>
      </c>
    </row>
    <row r="24" customFormat="false" ht="15" hidden="false" customHeight="false" outlineLevel="0" collapsed="false">
      <c r="A24" s="11" t="s">
        <v>396</v>
      </c>
      <c r="B24" s="13" t="s">
        <v>71</v>
      </c>
      <c r="C24" s="50" t="n">
        <v>0</v>
      </c>
      <c r="D24" s="44" t="n">
        <f aca="false">SUM(D21:D23)</f>
        <v>380.931</v>
      </c>
      <c r="E24" s="44" t="n">
        <f aca="false">SUM(E21:E23)</f>
        <v>1139.745552</v>
      </c>
      <c r="F24" s="44" t="n">
        <f aca="false">SUM(F21:F23)</f>
        <v>1992.09430272</v>
      </c>
      <c r="G24" s="44" t="n">
        <f aca="false">SUM(G21:G23)</f>
        <v>2833.67989926421</v>
      </c>
      <c r="H24" s="44" t="n">
        <f aca="false">SUM(H21:H23)</f>
        <v>3735.74523830745</v>
      </c>
      <c r="I24" s="44" t="n">
        <f aca="false">SUM(I21:I23)</f>
        <v>4677.85777001244</v>
      </c>
      <c r="J24" s="44" t="n">
        <f aca="false">SUM(J21:J23)</f>
        <v>5353.59193818978</v>
      </c>
      <c r="K24" s="44" t="n">
        <f aca="false">SUM(K21:K23)</f>
        <v>4687.86377347372</v>
      </c>
      <c r="L24" s="44" t="n">
        <f aca="false">SUM(L21:L23)</f>
        <v>6945.65663306279</v>
      </c>
      <c r="M24" s="44" t="n">
        <f aca="false">SUM(M21:M23)</f>
        <v>7584.87034418879</v>
      </c>
      <c r="N24" s="44" t="n">
        <f aca="false">SUM(N21:N23)</f>
        <v>8107.00017615076</v>
      </c>
      <c r="O24" s="44" t="n">
        <f aca="false">SUM(O21:O23)</f>
        <v>9020.98625823638</v>
      </c>
      <c r="P24" s="44" t="n">
        <f aca="false">SUM(P21:P23)</f>
        <v>9667.02630976197</v>
      </c>
      <c r="Q24" s="44" t="n">
        <f aca="false">SUM(Q21:Q23)</f>
        <v>11143.8885792839</v>
      </c>
      <c r="R24" s="44" t="n">
        <f aca="false">SUM(R21:R23)</f>
        <v>13272.5641585785</v>
      </c>
      <c r="S24" s="44" t="n">
        <f aca="false">SUM(S21:S23)</f>
        <v>15098.4296862161</v>
      </c>
      <c r="T24" s="44" t="n">
        <f aca="false">SUM(T21:T23)</f>
        <v>17135.9594583948</v>
      </c>
      <c r="U24" s="44" t="n">
        <f aca="false">SUM(U21:U23)</f>
        <v>19251.4321056627</v>
      </c>
      <c r="V24" s="44" t="n">
        <f aca="false">SUM(V21:V23)</f>
        <v>20284.7350619058</v>
      </c>
      <c r="W24" s="44" t="n">
        <f aca="false">SUM(W21:W23)</f>
        <v>16640.1946677414</v>
      </c>
      <c r="X24" s="44" t="n">
        <f aca="false">SUM(X21:X23)</f>
        <v>23383.3317773993</v>
      </c>
      <c r="Y24" s="44" t="n">
        <f aca="false">SUM(Y21:Y23)</f>
        <v>24439.5098537862</v>
      </c>
      <c r="Z24" s="44" t="n">
        <f aca="false">SUM(Z21:Z23)</f>
        <v>25173.8564339378</v>
      </c>
      <c r="AA24" s="44" t="n">
        <f aca="false">SUM(AA21:AA23)</f>
        <v>27140.6332621156</v>
      </c>
      <c r="AB24" s="44" t="n">
        <f aca="false">SUM(AB21:AB23)</f>
        <v>27492.8824128177</v>
      </c>
      <c r="AC24" s="44" t="n">
        <f aca="false">SUM(AC21:AC23)</f>
        <v>29518.7561571152</v>
      </c>
      <c r="AD24" s="44" t="n">
        <f aca="false">SUM(AD21:AD23)</f>
        <v>33187.8135910087</v>
      </c>
      <c r="AE24" s="44" t="n">
        <f aca="false">SUM(AE21:AE23)</f>
        <v>35992.0553456862</v>
      </c>
      <c r="AF24" s="44" t="n">
        <f aca="false">SUM(AF21:AF23)</f>
        <v>39236.4586195243</v>
      </c>
      <c r="AG24" s="44" t="n">
        <f aca="false">SUM(AG21:AG23)</f>
        <v>42587.7793950529</v>
      </c>
      <c r="AH24" s="44" t="n">
        <f aca="false">SUM(AH21:AH23)</f>
        <v>43555.7658111844</v>
      </c>
      <c r="AI24" s="44" t="n">
        <f aca="false">SUM(AI21:AI23)</f>
        <v>34811.0767673104</v>
      </c>
      <c r="AJ24" s="44" t="n">
        <f aca="false">SUM(AJ21:AJ23)</f>
        <v>47806.2405234381</v>
      </c>
      <c r="AK24" s="44" t="n">
        <f aca="false">SUM(AK21:AK23)</f>
        <v>48955.418520762</v>
      </c>
      <c r="AL24" s="44" t="n">
        <f aca="false">SUM(AL21:AL23)</f>
        <v>49513.3139720737</v>
      </c>
      <c r="AM24" s="44" t="n">
        <f aca="false">SUM(AM21:AM23)</f>
        <v>52510.8496512631</v>
      </c>
      <c r="AO24" s="44" t="n">
        <f aca="false">SUMIF($D$4:$AM$4,AO$4,$D24:$AM24)</f>
        <v>56460.0228856063</v>
      </c>
      <c r="AP24" s="44" t="n">
        <f aca="false">SUMIF($D$4:$AM$4,AP$4,$D24:$AM24)</f>
        <v>222631.561354784</v>
      </c>
      <c r="AQ24" s="44" t="n">
        <f aca="false">SUMIF($D$4:$AM$4,AQ$4,$D24:$AM24)</f>
        <v>485168.410767237</v>
      </c>
    </row>
    <row r="25" customFormat="false" ht="15" hidden="false" customHeight="false" outlineLevel="0" collapsed="false">
      <c r="A25" s="11" t="s">
        <v>225</v>
      </c>
      <c r="B25" s="13" t="s">
        <v>71</v>
      </c>
      <c r="C25" s="50" t="n">
        <v>0</v>
      </c>
      <c r="D25" s="44" t="n">
        <f aca="false">D19-D24</f>
        <v>951.309</v>
      </c>
      <c r="E25" s="44" t="n">
        <f aca="false">E19-E24</f>
        <v>2846.316528</v>
      </c>
      <c r="F25" s="44" t="n">
        <f aca="false">F19-F24</f>
        <v>4944.31665408</v>
      </c>
      <c r="G25" s="44" t="n">
        <f aca="false">G19-G24</f>
        <v>7016.89389566239</v>
      </c>
      <c r="H25" s="44" t="n">
        <f aca="false">H19-H24</f>
        <v>9220.09810542185</v>
      </c>
      <c r="I25" s="44" t="n">
        <f aca="false">I19-I24</f>
        <v>11509.1929170158</v>
      </c>
      <c r="J25" s="44" t="n">
        <f aca="false">J19-J24</f>
        <v>13213.0645260138</v>
      </c>
      <c r="K25" s="44" t="n">
        <f aca="false">K19-K24</f>
        <v>11977.0956157679</v>
      </c>
      <c r="L25" s="44" t="n">
        <f aca="false">L19-L24</f>
        <v>17142.3990337273</v>
      </c>
      <c r="M25" s="44" t="n">
        <f aca="false">M19-M24</f>
        <v>18760.9536464637</v>
      </c>
      <c r="N25" s="44" t="n">
        <f aca="false">N19-N24</f>
        <v>20121.3245431412</v>
      </c>
      <c r="O25" s="44" t="n">
        <f aca="false">O19-O24</f>
        <v>22338.1982646344</v>
      </c>
      <c r="P25" s="44" t="n">
        <f aca="false">P19-P24</f>
        <v>24141.7189247222</v>
      </c>
      <c r="Q25" s="44" t="n">
        <f aca="false">Q19-Q24</f>
        <v>27829.9258933244</v>
      </c>
      <c r="R25" s="44" t="n">
        <f aca="false">R19-R24</f>
        <v>32942.0951217031</v>
      </c>
      <c r="S25" s="44" t="n">
        <f aca="false">S19-S24</f>
        <v>37387.45478161</v>
      </c>
      <c r="T25" s="44" t="n">
        <f aca="false">T19-T24</f>
        <v>42292.8270688272</v>
      </c>
      <c r="U25" s="44" t="n">
        <f aca="false">U19-U24</f>
        <v>47365.3661411589</v>
      </c>
      <c r="V25" s="44" t="n">
        <f aca="false">V19-V24</f>
        <v>50064.2403008184</v>
      </c>
      <c r="W25" s="44" t="n">
        <f aca="false">W19-W24</f>
        <v>42514.2905662652</v>
      </c>
      <c r="X25" s="44" t="n">
        <f aca="false">X19-X24</f>
        <v>57711.8082915445</v>
      </c>
      <c r="Y25" s="44" t="n">
        <f aca="false">Y19-Y24</f>
        <v>60450.4086032881</v>
      </c>
      <c r="Z25" s="44" t="n">
        <f aca="false">Z19-Z24</f>
        <v>62480.7356979987</v>
      </c>
      <c r="AA25" s="44" t="n">
        <f aca="false">AA19-AA24</f>
        <v>67206.936080113</v>
      </c>
      <c r="AB25" s="44" t="n">
        <f aca="false">AB19-AB24</f>
        <v>68658.6979669684</v>
      </c>
      <c r="AC25" s="44" t="n">
        <f aca="false">AC19-AC24</f>
        <v>73717.9657236326</v>
      </c>
      <c r="AD25" s="44" t="n">
        <f aca="false">AD19-AD24</f>
        <v>82371.1303357865</v>
      </c>
      <c r="AE25" s="44" t="n">
        <f aca="false">AE19-AE24</f>
        <v>89125.2514135653</v>
      </c>
      <c r="AF25" s="44" t="n">
        <f aca="false">AF19-AF24</f>
        <v>96838.5087054928</v>
      </c>
      <c r="AG25" s="44" t="n">
        <f aca="false">AG19-AG24</f>
        <v>104781.075668248</v>
      </c>
      <c r="AH25" s="44" t="n">
        <f aca="false">AH19-AH24</f>
        <v>107498.881272173</v>
      </c>
      <c r="AI25" s="44" t="n">
        <f aca="false">AI19-AI24</f>
        <v>88939.3581121415</v>
      </c>
      <c r="AJ25" s="44" t="n">
        <f aca="false">AJ19-AJ24</f>
        <v>117989.370141631</v>
      </c>
      <c r="AK25" s="44" t="n">
        <f aca="false">AK19-AK24</f>
        <v>121089.787423318</v>
      </c>
      <c r="AL25" s="44" t="n">
        <f aca="false">AL19-AL24</f>
        <v>122890.51905653</v>
      </c>
      <c r="AM25" s="44" t="n">
        <f aca="false">AM19-AM24</f>
        <v>130029.881099015</v>
      </c>
      <c r="AO25" s="44" t="n">
        <f aca="false">SUMIF($D$4:$AM$4,AO$4,$D25:$AM25)</f>
        <v>140041.162729928</v>
      </c>
      <c r="AP25" s="44" t="n">
        <f aca="false">SUMIF($D$4:$AM$4,AP$4,$D25:$AM25)</f>
        <v>552387.807471374</v>
      </c>
      <c r="AQ25" s="44" t="n">
        <f aca="false">SUMIF($D$4:$AM$4,AQ$4,$D25:$AM25)</f>
        <v>1203930.4269185</v>
      </c>
    </row>
    <row r="26" customFormat="false" ht="15" hidden="false" customHeight="false" outlineLevel="0" collapsed="false">
      <c r="A26" s="10" t="s">
        <v>266</v>
      </c>
      <c r="B26" s="13" t="s">
        <v>66</v>
      </c>
      <c r="C26" s="58" t="n">
        <v>0</v>
      </c>
      <c r="D26" s="41" t="n">
        <f aca="false">IF(D19=0,0,D25/D19)</f>
        <v>0.714067285173843</v>
      </c>
      <c r="E26" s="41" t="n">
        <f aca="false">IF(E19=0,0,E25/E19)</f>
        <v>0.714067285173843</v>
      </c>
      <c r="F26" s="41" t="n">
        <f aca="false">IF(F19=0,0,F25/F19)</f>
        <v>0.712806188225183</v>
      </c>
      <c r="G26" s="41" t="n">
        <f aca="false">IF(G19=0,0,G25/G19)</f>
        <v>0.712333519015547</v>
      </c>
      <c r="H26" s="41" t="n">
        <f aca="false">IF(H19=0,0,H25/H19)</f>
        <v>0.711655571992111</v>
      </c>
      <c r="I26" s="41" t="n">
        <f aca="false">IF(I19=0,0,I25/I19)</f>
        <v>0.711012348051698</v>
      </c>
      <c r="J26" s="41" t="n">
        <f aca="false">IF(J19=0,0,J25/J19)</f>
        <v>0.71165557199211</v>
      </c>
      <c r="K26" s="41" t="n">
        <f aca="false">IF(K19=0,0,K25/K19)</f>
        <v>0.718699358097443</v>
      </c>
      <c r="L26" s="41" t="n">
        <f aca="false">IF(L19=0,0,L25/L19)</f>
        <v>0.711655571992111</v>
      </c>
      <c r="M26" s="41" t="n">
        <f aca="false">IF(M19=0,0,M25/M19)</f>
        <v>0.712103506541306</v>
      </c>
      <c r="N26" s="41" t="n">
        <f aca="false">IF(N19=0,0,N25/N19)</f>
        <v>0.712806188225183</v>
      </c>
      <c r="O26" s="41" t="n">
        <f aca="false">IF(O19=0,0,O25/O19)</f>
        <v>0.712333519015547</v>
      </c>
      <c r="P26" s="41" t="n">
        <f aca="false">IF(P19=0,0,P25/P19)</f>
        <v>0.714067285173843</v>
      </c>
      <c r="Q26" s="41" t="n">
        <f aca="false">IF(Q19=0,0,Q25/Q19)</f>
        <v>0.714067285173843</v>
      </c>
      <c r="R26" s="41" t="n">
        <f aca="false">IF(R19=0,0,R25/R19)</f>
        <v>0.712806188225183</v>
      </c>
      <c r="S26" s="41" t="n">
        <f aca="false">IF(S19=0,0,S25/S19)</f>
        <v>0.712333519015547</v>
      </c>
      <c r="T26" s="41" t="n">
        <f aca="false">IF(T19=0,0,T25/T19)</f>
        <v>0.71165557199211</v>
      </c>
      <c r="U26" s="41" t="n">
        <f aca="false">IF(U19=0,0,U25/U19)</f>
        <v>0.711012348051698</v>
      </c>
      <c r="V26" s="41" t="n">
        <f aca="false">IF(V19=0,0,V25/V19)</f>
        <v>0.711655571992111</v>
      </c>
      <c r="W26" s="41" t="n">
        <f aca="false">IF(W19=0,0,W25/W19)</f>
        <v>0.718699358097443</v>
      </c>
      <c r="X26" s="41" t="n">
        <f aca="false">IF(X19=0,0,X25/X19)</f>
        <v>0.71165557199211</v>
      </c>
      <c r="Y26" s="41" t="n">
        <f aca="false">IF(Y19=0,0,Y25/Y19)</f>
        <v>0.712103506541306</v>
      </c>
      <c r="Z26" s="41" t="n">
        <f aca="false">IF(Z19=0,0,Z25/Z19)</f>
        <v>0.712806188225183</v>
      </c>
      <c r="AA26" s="41" t="n">
        <f aca="false">IF(AA19=0,0,AA25/AA19)</f>
        <v>0.712333519015547</v>
      </c>
      <c r="AB26" s="41" t="n">
        <f aca="false">IF(AB19=0,0,AB25/AB19)</f>
        <v>0.714067285173843</v>
      </c>
      <c r="AC26" s="41" t="n">
        <f aca="false">IF(AC19=0,0,AC25/AC19)</f>
        <v>0.714067285173843</v>
      </c>
      <c r="AD26" s="41" t="n">
        <f aca="false">IF(AD19=0,0,AD25/AD19)</f>
        <v>0.712806188225183</v>
      </c>
      <c r="AE26" s="41" t="n">
        <f aca="false">IF(AE19=0,0,AE25/AE19)</f>
        <v>0.712333519015547</v>
      </c>
      <c r="AF26" s="41" t="n">
        <f aca="false">IF(AF19=0,0,AF25/AF19)</f>
        <v>0.711655571992111</v>
      </c>
      <c r="AG26" s="41" t="n">
        <f aca="false">IF(AG19=0,0,AG25/AG19)</f>
        <v>0.711012348051698</v>
      </c>
      <c r="AH26" s="41" t="n">
        <f aca="false">IF(AH19=0,0,AH25/AH19)</f>
        <v>0.711655571992111</v>
      </c>
      <c r="AI26" s="41" t="n">
        <f aca="false">IF(AI19=0,0,AI25/AI19)</f>
        <v>0.718699358097443</v>
      </c>
      <c r="AJ26" s="41" t="n">
        <f aca="false">IF(AJ19=0,0,AJ25/AJ19)</f>
        <v>0.71165557199211</v>
      </c>
      <c r="AK26" s="41" t="n">
        <f aca="false">IF(AK19=0,0,AK25/AK19)</f>
        <v>0.712103506541306</v>
      </c>
      <c r="AL26" s="41" t="n">
        <f aca="false">IF(AL19=0,0,AL25/AL19)</f>
        <v>0.712806188225183</v>
      </c>
      <c r="AM26" s="41" t="n">
        <f aca="false">IF(AM19=0,0,AM25/AM19)</f>
        <v>0.712333519015547</v>
      </c>
      <c r="AO26" s="41" t="n">
        <f aca="false">IF(AO19=0,0,AO25/AO19)</f>
        <v>0.712673372892144</v>
      </c>
      <c r="AP26" s="41" t="n">
        <f aca="false">IF(AP19=0,0,AP25/AP19)</f>
        <v>0.712740648415044</v>
      </c>
      <c r="AQ26" s="41" t="n">
        <f aca="false">IF(AQ19=0,0,AQ25/AQ19)</f>
        <v>0.712764937170892</v>
      </c>
    </row>
    <row r="27" customFormat="false" ht="15" hidden="false" customHeight="false" outlineLevel="0" collapsed="false">
      <c r="A27" s="5" t="s">
        <v>397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</row>
    <row r="28" customFormat="false" ht="15" hidden="false" customHeight="false" outlineLevel="0" collapsed="false">
      <c r="A28" s="10" t="s">
        <v>398</v>
      </c>
      <c r="B28" s="13" t="s">
        <v>366</v>
      </c>
      <c r="C28" s="50" t="n">
        <v>0</v>
      </c>
      <c r="D28" s="45" t="n">
        <f aca="false">MAX(1,ROUNDUP(D13/cap_operateur,0))</f>
        <v>1</v>
      </c>
      <c r="E28" s="45" t="n">
        <f aca="false">MAX(1,ROUNDUP(E13/cap_operateur,0))</f>
        <v>1</v>
      </c>
      <c r="F28" s="45" t="n">
        <f aca="false">MAX(1,ROUNDUP(F13/cap_operateur,0))</f>
        <v>1</v>
      </c>
      <c r="G28" s="45" t="n">
        <f aca="false">MAX(1,ROUNDUP(G13/cap_operateur,0))</f>
        <v>1</v>
      </c>
      <c r="H28" s="45" t="n">
        <f aca="false">MAX(1,ROUNDUP(H13/cap_operateur,0))</f>
        <v>1</v>
      </c>
      <c r="I28" s="45" t="n">
        <f aca="false">MAX(1,ROUNDUP(I13/cap_operateur,0))</f>
        <v>1</v>
      </c>
      <c r="J28" s="45" t="n">
        <f aca="false">MAX(1,ROUNDUP(J13/cap_operateur,0))</f>
        <v>1</v>
      </c>
      <c r="K28" s="45" t="n">
        <f aca="false">MAX(1,ROUNDUP(K13/cap_operateur,0))</f>
        <v>1</v>
      </c>
      <c r="L28" s="45" t="n">
        <f aca="false">MAX(1,ROUNDUP(L13/cap_operateur,0))</f>
        <v>1</v>
      </c>
      <c r="M28" s="45" t="n">
        <f aca="false">MAX(1,ROUNDUP(M13/cap_operateur,0))</f>
        <v>1</v>
      </c>
      <c r="N28" s="45" t="n">
        <f aca="false">MAX(1,ROUNDUP(N13/cap_operateur,0))</f>
        <v>1</v>
      </c>
      <c r="O28" s="45" t="n">
        <f aca="false">MAX(1,ROUNDUP(O13/cap_operateur,0))</f>
        <v>1</v>
      </c>
      <c r="P28" s="45" t="n">
        <f aca="false">MAX(1,ROUNDUP(P13/cap_operateur,0))</f>
        <v>1</v>
      </c>
      <c r="Q28" s="45" t="n">
        <f aca="false">MAX(1,ROUNDUP(Q13/cap_operateur,0))</f>
        <v>2</v>
      </c>
      <c r="R28" s="45" t="n">
        <f aca="false">MAX(1,ROUNDUP(R13/cap_operateur,0))</f>
        <v>2</v>
      </c>
      <c r="S28" s="45" t="n">
        <f aca="false">MAX(1,ROUNDUP(S13/cap_operateur,0))</f>
        <v>2</v>
      </c>
      <c r="T28" s="45" t="n">
        <f aca="false">MAX(1,ROUNDUP(T13/cap_operateur,0))</f>
        <v>2</v>
      </c>
      <c r="U28" s="45" t="n">
        <f aca="false">MAX(1,ROUNDUP(U13/cap_operateur,0))</f>
        <v>2</v>
      </c>
      <c r="V28" s="45" t="n">
        <f aca="false">MAX(1,ROUNDUP(V13/cap_operateur,0))</f>
        <v>3</v>
      </c>
      <c r="W28" s="45" t="n">
        <f aca="false">MAX(1,ROUNDUP(W13/cap_operateur,0))</f>
        <v>2</v>
      </c>
      <c r="X28" s="45" t="n">
        <f aca="false">MAX(1,ROUNDUP(X13/cap_operateur,0))</f>
        <v>3</v>
      </c>
      <c r="Y28" s="45" t="n">
        <f aca="false">MAX(1,ROUNDUP(Y13/cap_operateur,0))</f>
        <v>3</v>
      </c>
      <c r="Z28" s="45" t="n">
        <f aca="false">MAX(1,ROUNDUP(Z13/cap_operateur,0))</f>
        <v>3</v>
      </c>
      <c r="AA28" s="45" t="n">
        <f aca="false">MAX(1,ROUNDUP(AA13/cap_operateur,0))</f>
        <v>3</v>
      </c>
      <c r="AB28" s="45" t="n">
        <f aca="false">MAX(1,ROUNDUP(AB13/cap_operateur,0))</f>
        <v>3</v>
      </c>
      <c r="AC28" s="45" t="n">
        <f aca="false">MAX(1,ROUNDUP(AC13/cap_operateur,0))</f>
        <v>3</v>
      </c>
      <c r="AD28" s="45" t="n">
        <f aca="false">MAX(1,ROUNDUP(AD13/cap_operateur,0))</f>
        <v>4</v>
      </c>
      <c r="AE28" s="45" t="n">
        <f aca="false">MAX(1,ROUNDUP(AE13/cap_operateur,0))</f>
        <v>4</v>
      </c>
      <c r="AF28" s="45" t="n">
        <f aca="false">MAX(1,ROUNDUP(AF13/cap_operateur,0))</f>
        <v>4</v>
      </c>
      <c r="AG28" s="45" t="n">
        <f aca="false">MAX(1,ROUNDUP(AG13/cap_operateur,0))</f>
        <v>5</v>
      </c>
      <c r="AH28" s="45" t="n">
        <f aca="false">MAX(1,ROUNDUP(AH13/cap_operateur,0))</f>
        <v>5</v>
      </c>
      <c r="AI28" s="45" t="n">
        <f aca="false">MAX(1,ROUNDUP(AI13/cap_operateur,0))</f>
        <v>4</v>
      </c>
      <c r="AJ28" s="45" t="n">
        <f aca="false">MAX(1,ROUNDUP(AJ13/cap_operateur,0))</f>
        <v>5</v>
      </c>
      <c r="AK28" s="45" t="n">
        <f aca="false">MAX(1,ROUNDUP(AK13/cap_operateur,0))</f>
        <v>5</v>
      </c>
      <c r="AL28" s="45" t="n">
        <f aca="false">MAX(1,ROUNDUP(AL13/cap_operateur,0))</f>
        <v>5</v>
      </c>
      <c r="AM28" s="45" t="n">
        <f aca="false">MAX(1,ROUNDUP(AM13/cap_operateur,0))</f>
        <v>6</v>
      </c>
      <c r="AO28" s="45" t="n">
        <f aca="false">INDEX($D28:$AM28,(AO$4-annee_debut)*12+12)</f>
        <v>1</v>
      </c>
      <c r="AP28" s="45" t="n">
        <f aca="false">INDEX($D28:$AM28,(AP$4-annee_debut)*12+12)</f>
        <v>3</v>
      </c>
      <c r="AQ28" s="45" t="n">
        <f aca="false">INDEX($D28:$AM28,(AQ$4-annee_debut)*12+12)</f>
        <v>6</v>
      </c>
    </row>
    <row r="29" customFormat="false" ht="15" hidden="false" customHeight="false" outlineLevel="0" collapsed="false">
      <c r="A29" s="10" t="s">
        <v>399</v>
      </c>
      <c r="B29" s="13" t="s">
        <v>366</v>
      </c>
      <c r="C29" s="50" t="n">
        <v>0</v>
      </c>
      <c r="D29" s="45" t="n">
        <f aca="false">MAX(1,ROUNDUP(D13/cap_chauffeur,0))</f>
        <v>1</v>
      </c>
      <c r="E29" s="45" t="n">
        <f aca="false">MAX(1,ROUNDUP(E13/cap_chauffeur,0))</f>
        <v>1</v>
      </c>
      <c r="F29" s="45" t="n">
        <f aca="false">MAX(1,ROUNDUP(F13/cap_chauffeur,0))</f>
        <v>1</v>
      </c>
      <c r="G29" s="45" t="n">
        <f aca="false">MAX(1,ROUNDUP(G13/cap_chauffeur,0))</f>
        <v>1</v>
      </c>
      <c r="H29" s="45" t="n">
        <f aca="false">MAX(1,ROUNDUP(H13/cap_chauffeur,0))</f>
        <v>1</v>
      </c>
      <c r="I29" s="45" t="n">
        <f aca="false">MAX(1,ROUNDUP(I13/cap_chauffeur,0))</f>
        <v>1</v>
      </c>
      <c r="J29" s="45" t="n">
        <f aca="false">MAX(1,ROUNDUP(J13/cap_chauffeur,0))</f>
        <v>1</v>
      </c>
      <c r="K29" s="45" t="n">
        <f aca="false">MAX(1,ROUNDUP(K13/cap_chauffeur,0))</f>
        <v>1</v>
      </c>
      <c r="L29" s="45" t="n">
        <f aca="false">MAX(1,ROUNDUP(L13/cap_chauffeur,0))</f>
        <v>1</v>
      </c>
      <c r="M29" s="45" t="n">
        <f aca="false">MAX(1,ROUNDUP(M13/cap_chauffeur,0))</f>
        <v>2</v>
      </c>
      <c r="N29" s="45" t="n">
        <f aca="false">MAX(1,ROUNDUP(N13/cap_chauffeur,0))</f>
        <v>2</v>
      </c>
      <c r="O29" s="45" t="n">
        <f aca="false">MAX(1,ROUNDUP(O13/cap_chauffeur,0))</f>
        <v>2</v>
      </c>
      <c r="P29" s="45" t="n">
        <f aca="false">MAX(1,ROUNDUP(P13/cap_chauffeur,0))</f>
        <v>2</v>
      </c>
      <c r="Q29" s="45" t="n">
        <f aca="false">MAX(1,ROUNDUP(Q13/cap_chauffeur,0))</f>
        <v>2</v>
      </c>
      <c r="R29" s="45" t="n">
        <f aca="false">MAX(1,ROUNDUP(R13/cap_chauffeur,0))</f>
        <v>2</v>
      </c>
      <c r="S29" s="45" t="n">
        <f aca="false">MAX(1,ROUNDUP(S13/cap_chauffeur,0))</f>
        <v>3</v>
      </c>
      <c r="T29" s="45" t="n">
        <f aca="false">MAX(1,ROUNDUP(T13/cap_chauffeur,0))</f>
        <v>3</v>
      </c>
      <c r="U29" s="45" t="n">
        <f aca="false">MAX(1,ROUNDUP(U13/cap_chauffeur,0))</f>
        <v>3</v>
      </c>
      <c r="V29" s="45" t="n">
        <f aca="false">MAX(1,ROUNDUP(V13/cap_chauffeur,0))</f>
        <v>3</v>
      </c>
      <c r="W29" s="45" t="n">
        <f aca="false">MAX(1,ROUNDUP(W13/cap_chauffeur,0))</f>
        <v>3</v>
      </c>
      <c r="X29" s="45" t="n">
        <f aca="false">MAX(1,ROUNDUP(X13/cap_chauffeur,0))</f>
        <v>4</v>
      </c>
      <c r="Y29" s="45" t="n">
        <f aca="false">MAX(1,ROUNDUP(Y13/cap_chauffeur,0))</f>
        <v>4</v>
      </c>
      <c r="Z29" s="45" t="n">
        <f aca="false">MAX(1,ROUNDUP(Z13/cap_chauffeur,0))</f>
        <v>4</v>
      </c>
      <c r="AA29" s="45" t="n">
        <f aca="false">MAX(1,ROUNDUP(AA13/cap_chauffeur,0))</f>
        <v>4</v>
      </c>
      <c r="AB29" s="45" t="n">
        <f aca="false">MAX(1,ROUNDUP(AB13/cap_chauffeur,0))</f>
        <v>4</v>
      </c>
      <c r="AC29" s="45" t="n">
        <f aca="false">MAX(1,ROUNDUP(AC13/cap_chauffeur,0))</f>
        <v>4</v>
      </c>
      <c r="AD29" s="45" t="n">
        <f aca="false">MAX(1,ROUNDUP(AD13/cap_chauffeur,0))</f>
        <v>5</v>
      </c>
      <c r="AE29" s="45" t="n">
        <f aca="false">MAX(1,ROUNDUP(AE13/cap_chauffeur,0))</f>
        <v>5</v>
      </c>
      <c r="AF29" s="45" t="n">
        <f aca="false">MAX(1,ROUNDUP(AF13/cap_chauffeur,0))</f>
        <v>6</v>
      </c>
      <c r="AG29" s="45" t="n">
        <f aca="false">MAX(1,ROUNDUP(AG13/cap_chauffeur,0))</f>
        <v>6</v>
      </c>
      <c r="AH29" s="45" t="n">
        <f aca="false">MAX(1,ROUNDUP(AH13/cap_chauffeur,0))</f>
        <v>6</v>
      </c>
      <c r="AI29" s="45" t="n">
        <f aca="false">MAX(1,ROUNDUP(AI13/cap_chauffeur,0))</f>
        <v>5</v>
      </c>
      <c r="AJ29" s="45" t="n">
        <f aca="false">MAX(1,ROUNDUP(AJ13/cap_chauffeur,0))</f>
        <v>7</v>
      </c>
      <c r="AK29" s="45" t="n">
        <f aca="false">MAX(1,ROUNDUP(AK13/cap_chauffeur,0))</f>
        <v>7</v>
      </c>
      <c r="AL29" s="45" t="n">
        <f aca="false">MAX(1,ROUNDUP(AL13/cap_chauffeur,0))</f>
        <v>7</v>
      </c>
      <c r="AM29" s="45" t="n">
        <f aca="false">MAX(1,ROUNDUP(AM13/cap_chauffeur,0))</f>
        <v>7</v>
      </c>
      <c r="AO29" s="45" t="n">
        <f aca="false">INDEX($D29:$AM29,(AO$4-annee_debut)*12+12)</f>
        <v>2</v>
      </c>
      <c r="AP29" s="45" t="n">
        <f aca="false">INDEX($D29:$AM29,(AP$4-annee_debut)*12+12)</f>
        <v>4</v>
      </c>
      <c r="AQ29" s="45" t="n">
        <f aca="false">INDEX($D29:$AM29,(AQ$4-annee_debut)*12+12)</f>
        <v>7</v>
      </c>
    </row>
    <row r="30" customFormat="false" ht="15" hidden="false" customHeight="false" outlineLevel="0" collapsed="false">
      <c r="A30" s="10" t="s">
        <v>400</v>
      </c>
      <c r="B30" s="13" t="s">
        <v>366</v>
      </c>
      <c r="C30" s="50" t="n">
        <v>0</v>
      </c>
      <c r="D30" s="45" t="n">
        <f aca="false">IF(D$6&gt;=embauche_com1,1,0)+IF(AND(embauche_com2_a&gt;0,D$6&gt;=embauche_com2_a),1,0)</f>
        <v>0</v>
      </c>
      <c r="E30" s="45" t="n">
        <f aca="false">IF(E$6&gt;=embauche_com1,1,0)+IF(AND(embauche_com2_a&gt;0,E$6&gt;=embauche_com2_a),1,0)</f>
        <v>0</v>
      </c>
      <c r="F30" s="45" t="n">
        <f aca="false">IF(F$6&gt;=embauche_com1,1,0)+IF(AND(embauche_com2_a&gt;0,F$6&gt;=embauche_com2_a),1,0)</f>
        <v>0</v>
      </c>
      <c r="G30" s="45" t="n">
        <f aca="false">IF(G$6&gt;=embauche_com1,1,0)+IF(AND(embauche_com2_a&gt;0,G$6&gt;=embauche_com2_a),1,0)</f>
        <v>1</v>
      </c>
      <c r="H30" s="45" t="n">
        <f aca="false">IF(H$6&gt;=embauche_com1,1,0)+IF(AND(embauche_com2_a&gt;0,H$6&gt;=embauche_com2_a),1,0)</f>
        <v>1</v>
      </c>
      <c r="I30" s="45" t="n">
        <f aca="false">IF(I$6&gt;=embauche_com1,1,0)+IF(AND(embauche_com2_a&gt;0,I$6&gt;=embauche_com2_a),1,0)</f>
        <v>1</v>
      </c>
      <c r="J30" s="45" t="n">
        <f aca="false">IF(J$6&gt;=embauche_com1,1,0)+IF(AND(embauche_com2_a&gt;0,J$6&gt;=embauche_com2_a),1,0)</f>
        <v>1</v>
      </c>
      <c r="K30" s="45" t="n">
        <f aca="false">IF(K$6&gt;=embauche_com1,1,0)+IF(AND(embauche_com2_a&gt;0,K$6&gt;=embauche_com2_a),1,0)</f>
        <v>1</v>
      </c>
      <c r="L30" s="45" t="n">
        <f aca="false">IF(L$6&gt;=embauche_com1,1,0)+IF(AND(embauche_com2_a&gt;0,L$6&gt;=embauche_com2_a),1,0)</f>
        <v>1</v>
      </c>
      <c r="M30" s="45" t="n">
        <f aca="false">IF(M$6&gt;=embauche_com1,1,0)+IF(AND(embauche_com2_a&gt;0,M$6&gt;=embauche_com2_a),1,0)</f>
        <v>1</v>
      </c>
      <c r="N30" s="45" t="n">
        <f aca="false">IF(N$6&gt;=embauche_com1,1,0)+IF(AND(embauche_com2_a&gt;0,N$6&gt;=embauche_com2_a),1,0)</f>
        <v>1</v>
      </c>
      <c r="O30" s="45" t="n">
        <f aca="false">IF(O$6&gt;=embauche_com1,1,0)+IF(AND(embauche_com2_a&gt;0,O$6&gt;=embauche_com2_a),1,0)</f>
        <v>1</v>
      </c>
      <c r="P30" s="45" t="n">
        <f aca="false">IF(P$6&gt;=embauche_com1,1,0)+IF(AND(embauche_com2_a&gt;0,P$6&gt;=embauche_com2_a),1,0)</f>
        <v>1</v>
      </c>
      <c r="Q30" s="45" t="n">
        <f aca="false">IF(Q$6&gt;=embauche_com1,1,0)+IF(AND(embauche_com2_a&gt;0,Q$6&gt;=embauche_com2_a),1,0)</f>
        <v>1</v>
      </c>
      <c r="R30" s="45" t="n">
        <f aca="false">IF(R$6&gt;=embauche_com1,1,0)+IF(AND(embauche_com2_a&gt;0,R$6&gt;=embauche_com2_a),1,0)</f>
        <v>1</v>
      </c>
      <c r="S30" s="45" t="n">
        <f aca="false">IF(S$6&gt;=embauche_com1,1,0)+IF(AND(embauche_com2_a&gt;0,S$6&gt;=embauche_com2_a),1,0)</f>
        <v>1</v>
      </c>
      <c r="T30" s="45" t="n">
        <f aca="false">IF(T$6&gt;=embauche_com1,1,0)+IF(AND(embauche_com2_a&gt;0,T$6&gt;=embauche_com2_a),1,0)</f>
        <v>1</v>
      </c>
      <c r="U30" s="45" t="n">
        <f aca="false">IF(U$6&gt;=embauche_com1,1,0)+IF(AND(embauche_com2_a&gt;0,U$6&gt;=embauche_com2_a),1,0)</f>
        <v>1</v>
      </c>
      <c r="V30" s="45" t="n">
        <f aca="false">IF(V$6&gt;=embauche_com1,1,0)+IF(AND(embauche_com2_a&gt;0,V$6&gt;=embauche_com2_a),1,0)</f>
        <v>2</v>
      </c>
      <c r="W30" s="45" t="n">
        <f aca="false">IF(W$6&gt;=embauche_com1,1,0)+IF(AND(embauche_com2_a&gt;0,W$6&gt;=embauche_com2_a),1,0)</f>
        <v>2</v>
      </c>
      <c r="X30" s="45" t="n">
        <f aca="false">IF(X$6&gt;=embauche_com1,1,0)+IF(AND(embauche_com2_a&gt;0,X$6&gt;=embauche_com2_a),1,0)</f>
        <v>2</v>
      </c>
      <c r="Y30" s="45" t="n">
        <f aca="false">IF(Y$6&gt;=embauche_com1,1,0)+IF(AND(embauche_com2_a&gt;0,Y$6&gt;=embauche_com2_a),1,0)</f>
        <v>2</v>
      </c>
      <c r="Z30" s="45" t="n">
        <f aca="false">IF(Z$6&gt;=embauche_com1,1,0)+IF(AND(embauche_com2_a&gt;0,Z$6&gt;=embauche_com2_a),1,0)</f>
        <v>2</v>
      </c>
      <c r="AA30" s="45" t="n">
        <f aca="false">IF(AA$6&gt;=embauche_com1,1,0)+IF(AND(embauche_com2_a&gt;0,AA$6&gt;=embauche_com2_a),1,0)</f>
        <v>2</v>
      </c>
      <c r="AB30" s="45" t="n">
        <f aca="false">IF(AB$6&gt;=embauche_com1,1,0)+IF(AND(embauche_com2_a&gt;0,AB$6&gt;=embauche_com2_a),1,0)</f>
        <v>2</v>
      </c>
      <c r="AC30" s="45" t="n">
        <f aca="false">IF(AC$6&gt;=embauche_com1,1,0)+IF(AND(embauche_com2_a&gt;0,AC$6&gt;=embauche_com2_a),1,0)</f>
        <v>2</v>
      </c>
      <c r="AD30" s="45" t="n">
        <f aca="false">IF(AD$6&gt;=embauche_com1,1,0)+IF(AND(embauche_com2_a&gt;0,AD$6&gt;=embauche_com2_a),1,0)</f>
        <v>2</v>
      </c>
      <c r="AE30" s="45" t="n">
        <f aca="false">IF(AE$6&gt;=embauche_com1,1,0)+IF(AND(embauche_com2_a&gt;0,AE$6&gt;=embauche_com2_a),1,0)</f>
        <v>2</v>
      </c>
      <c r="AF30" s="45" t="n">
        <f aca="false">IF(AF$6&gt;=embauche_com1,1,0)+IF(AND(embauche_com2_a&gt;0,AF$6&gt;=embauche_com2_a),1,0)</f>
        <v>2</v>
      </c>
      <c r="AG30" s="45" t="n">
        <f aca="false">IF(AG$6&gt;=embauche_com1,1,0)+IF(AND(embauche_com2_a&gt;0,AG$6&gt;=embauche_com2_a),1,0)</f>
        <v>2</v>
      </c>
      <c r="AH30" s="45" t="n">
        <f aca="false">IF(AH$6&gt;=embauche_com1,1,0)+IF(AND(embauche_com2_a&gt;0,AH$6&gt;=embauche_com2_a),1,0)</f>
        <v>2</v>
      </c>
      <c r="AI30" s="45" t="n">
        <f aca="false">IF(AI$6&gt;=embauche_com1,1,0)+IF(AND(embauche_com2_a&gt;0,AI$6&gt;=embauche_com2_a),1,0)</f>
        <v>2</v>
      </c>
      <c r="AJ30" s="45" t="n">
        <f aca="false">IF(AJ$6&gt;=embauche_com1,1,0)+IF(AND(embauche_com2_a&gt;0,AJ$6&gt;=embauche_com2_a),1,0)</f>
        <v>2</v>
      </c>
      <c r="AK30" s="45" t="n">
        <f aca="false">IF(AK$6&gt;=embauche_com1,1,0)+IF(AND(embauche_com2_a&gt;0,AK$6&gt;=embauche_com2_a),1,0)</f>
        <v>2</v>
      </c>
      <c r="AL30" s="45" t="n">
        <f aca="false">IF(AL$6&gt;=embauche_com1,1,0)+IF(AND(embauche_com2_a&gt;0,AL$6&gt;=embauche_com2_a),1,0)</f>
        <v>2</v>
      </c>
      <c r="AM30" s="45" t="n">
        <f aca="false">IF(AM$6&gt;=embauche_com1,1,0)+IF(AND(embauche_com2_a&gt;0,AM$6&gt;=embauche_com2_a),1,0)</f>
        <v>2</v>
      </c>
      <c r="AO30" s="45" t="n">
        <f aca="false">INDEX($D30:$AM30,(AO$4-annee_debut)*12+12)</f>
        <v>1</v>
      </c>
      <c r="AP30" s="45" t="n">
        <f aca="false">INDEX($D30:$AM30,(AP$4-annee_debut)*12+12)</f>
        <v>2</v>
      </c>
      <c r="AQ30" s="45" t="n">
        <f aca="false">INDEX($D30:$AM30,(AQ$4-annee_debut)*12+12)</f>
        <v>2</v>
      </c>
    </row>
    <row r="31" customFormat="false" ht="15" hidden="false" customHeight="false" outlineLevel="0" collapsed="false">
      <c r="A31" s="10" t="s">
        <v>401</v>
      </c>
      <c r="B31" s="13" t="s">
        <v>366</v>
      </c>
      <c r="C31" s="50" t="n">
        <v>0</v>
      </c>
      <c r="D31" s="45" t="n">
        <f aca="false">IF(D$6&gt;=embauche_resp,1,0)</f>
        <v>0</v>
      </c>
      <c r="E31" s="45" t="n">
        <f aca="false">IF(E$6&gt;=embauche_resp,1,0)</f>
        <v>0</v>
      </c>
      <c r="F31" s="45" t="n">
        <f aca="false">IF(F$6&gt;=embauche_resp,1,0)</f>
        <v>0</v>
      </c>
      <c r="G31" s="45" t="n">
        <f aca="false">IF(G$6&gt;=embauche_resp,1,0)</f>
        <v>0</v>
      </c>
      <c r="H31" s="45" t="n">
        <f aca="false">IF(H$6&gt;=embauche_resp,1,0)</f>
        <v>0</v>
      </c>
      <c r="I31" s="45" t="n">
        <f aca="false">IF(I$6&gt;=embauche_resp,1,0)</f>
        <v>0</v>
      </c>
      <c r="J31" s="45" t="n">
        <f aca="false">IF(J$6&gt;=embauche_resp,1,0)</f>
        <v>0</v>
      </c>
      <c r="K31" s="45" t="n">
        <f aca="false">IF(K$6&gt;=embauche_resp,1,0)</f>
        <v>0</v>
      </c>
      <c r="L31" s="45" t="n">
        <f aca="false">IF(L$6&gt;=embauche_resp,1,0)</f>
        <v>0</v>
      </c>
      <c r="M31" s="45" t="n">
        <f aca="false">IF(M$6&gt;=embauche_resp,1,0)</f>
        <v>0</v>
      </c>
      <c r="N31" s="45" t="n">
        <f aca="false">IF(N$6&gt;=embauche_resp,1,0)</f>
        <v>0</v>
      </c>
      <c r="O31" s="45" t="n">
        <f aca="false">IF(O$6&gt;=embauche_resp,1,0)</f>
        <v>0</v>
      </c>
      <c r="P31" s="45" t="n">
        <f aca="false">IF(P$6&gt;=embauche_resp,1,0)</f>
        <v>1</v>
      </c>
      <c r="Q31" s="45" t="n">
        <f aca="false">IF(Q$6&gt;=embauche_resp,1,0)</f>
        <v>1</v>
      </c>
      <c r="R31" s="45" t="n">
        <f aca="false">IF(R$6&gt;=embauche_resp,1,0)</f>
        <v>1</v>
      </c>
      <c r="S31" s="45" t="n">
        <f aca="false">IF(S$6&gt;=embauche_resp,1,0)</f>
        <v>1</v>
      </c>
      <c r="T31" s="45" t="n">
        <f aca="false">IF(T$6&gt;=embauche_resp,1,0)</f>
        <v>1</v>
      </c>
      <c r="U31" s="45" t="n">
        <f aca="false">IF(U$6&gt;=embauche_resp,1,0)</f>
        <v>1</v>
      </c>
      <c r="V31" s="45" t="n">
        <f aca="false">IF(V$6&gt;=embauche_resp,1,0)</f>
        <v>1</v>
      </c>
      <c r="W31" s="45" t="n">
        <f aca="false">IF(W$6&gt;=embauche_resp,1,0)</f>
        <v>1</v>
      </c>
      <c r="X31" s="45" t="n">
        <f aca="false">IF(X$6&gt;=embauche_resp,1,0)</f>
        <v>1</v>
      </c>
      <c r="Y31" s="45" t="n">
        <f aca="false">IF(Y$6&gt;=embauche_resp,1,0)</f>
        <v>1</v>
      </c>
      <c r="Z31" s="45" t="n">
        <f aca="false">IF(Z$6&gt;=embauche_resp,1,0)</f>
        <v>1</v>
      </c>
      <c r="AA31" s="45" t="n">
        <f aca="false">IF(AA$6&gt;=embauche_resp,1,0)</f>
        <v>1</v>
      </c>
      <c r="AB31" s="45" t="n">
        <f aca="false">IF(AB$6&gt;=embauche_resp,1,0)</f>
        <v>1</v>
      </c>
      <c r="AC31" s="45" t="n">
        <f aca="false">IF(AC$6&gt;=embauche_resp,1,0)</f>
        <v>1</v>
      </c>
      <c r="AD31" s="45" t="n">
        <f aca="false">IF(AD$6&gt;=embauche_resp,1,0)</f>
        <v>1</v>
      </c>
      <c r="AE31" s="45" t="n">
        <f aca="false">IF(AE$6&gt;=embauche_resp,1,0)</f>
        <v>1</v>
      </c>
      <c r="AF31" s="45" t="n">
        <f aca="false">IF(AF$6&gt;=embauche_resp,1,0)</f>
        <v>1</v>
      </c>
      <c r="AG31" s="45" t="n">
        <f aca="false">IF(AG$6&gt;=embauche_resp,1,0)</f>
        <v>1</v>
      </c>
      <c r="AH31" s="45" t="n">
        <f aca="false">IF(AH$6&gt;=embauche_resp,1,0)</f>
        <v>1</v>
      </c>
      <c r="AI31" s="45" t="n">
        <f aca="false">IF(AI$6&gt;=embauche_resp,1,0)</f>
        <v>1</v>
      </c>
      <c r="AJ31" s="45" t="n">
        <f aca="false">IF(AJ$6&gt;=embauche_resp,1,0)</f>
        <v>1</v>
      </c>
      <c r="AK31" s="45" t="n">
        <f aca="false">IF(AK$6&gt;=embauche_resp,1,0)</f>
        <v>1</v>
      </c>
      <c r="AL31" s="45" t="n">
        <f aca="false">IF(AL$6&gt;=embauche_resp,1,0)</f>
        <v>1</v>
      </c>
      <c r="AM31" s="45" t="n">
        <f aca="false">IF(AM$6&gt;=embauche_resp,1,0)</f>
        <v>1</v>
      </c>
      <c r="AO31" s="45" t="n">
        <f aca="false">INDEX($D31:$AM31,(AO$4-annee_debut)*12+12)</f>
        <v>0</v>
      </c>
      <c r="AP31" s="45" t="n">
        <f aca="false">INDEX($D31:$AM31,(AP$4-annee_debut)*12+12)</f>
        <v>1</v>
      </c>
      <c r="AQ31" s="45" t="n">
        <f aca="false">INDEX($D31:$AM31,(AQ$4-annee_debut)*12+12)</f>
        <v>1</v>
      </c>
    </row>
    <row r="32" customFormat="false" ht="15" hidden="false" customHeight="false" outlineLevel="0" collapsed="false">
      <c r="A32" s="10" t="s">
        <v>126</v>
      </c>
      <c r="B32" s="13" t="s">
        <v>366</v>
      </c>
      <c r="C32" s="50" t="n">
        <v>0</v>
      </c>
      <c r="D32" s="45" t="n">
        <f aca="false">nb_fondateurs</f>
        <v>2</v>
      </c>
      <c r="E32" s="45" t="n">
        <f aca="false">nb_fondateurs</f>
        <v>2</v>
      </c>
      <c r="F32" s="45" t="n">
        <f aca="false">nb_fondateurs</f>
        <v>2</v>
      </c>
      <c r="G32" s="45" t="n">
        <f aca="false">nb_fondateurs</f>
        <v>2</v>
      </c>
      <c r="H32" s="45" t="n">
        <f aca="false">nb_fondateurs</f>
        <v>2</v>
      </c>
      <c r="I32" s="45" t="n">
        <f aca="false">nb_fondateurs</f>
        <v>2</v>
      </c>
      <c r="J32" s="45" t="n">
        <f aca="false">nb_fondateurs</f>
        <v>2</v>
      </c>
      <c r="K32" s="45" t="n">
        <f aca="false">nb_fondateurs</f>
        <v>2</v>
      </c>
      <c r="L32" s="45" t="n">
        <f aca="false">nb_fondateurs</f>
        <v>2</v>
      </c>
      <c r="M32" s="45" t="n">
        <f aca="false">nb_fondateurs</f>
        <v>2</v>
      </c>
      <c r="N32" s="45" t="n">
        <f aca="false">nb_fondateurs</f>
        <v>2</v>
      </c>
      <c r="O32" s="45" t="n">
        <f aca="false">nb_fondateurs</f>
        <v>2</v>
      </c>
      <c r="P32" s="45" t="n">
        <f aca="false">nb_fondateurs</f>
        <v>2</v>
      </c>
      <c r="Q32" s="45" t="n">
        <f aca="false">nb_fondateurs</f>
        <v>2</v>
      </c>
      <c r="R32" s="45" t="n">
        <f aca="false">nb_fondateurs</f>
        <v>2</v>
      </c>
      <c r="S32" s="45" t="n">
        <f aca="false">nb_fondateurs</f>
        <v>2</v>
      </c>
      <c r="T32" s="45" t="n">
        <f aca="false">nb_fondateurs</f>
        <v>2</v>
      </c>
      <c r="U32" s="45" t="n">
        <f aca="false">nb_fondateurs</f>
        <v>2</v>
      </c>
      <c r="V32" s="45" t="n">
        <f aca="false">nb_fondateurs</f>
        <v>2</v>
      </c>
      <c r="W32" s="45" t="n">
        <f aca="false">nb_fondateurs</f>
        <v>2</v>
      </c>
      <c r="X32" s="45" t="n">
        <f aca="false">nb_fondateurs</f>
        <v>2</v>
      </c>
      <c r="Y32" s="45" t="n">
        <f aca="false">nb_fondateurs</f>
        <v>2</v>
      </c>
      <c r="Z32" s="45" t="n">
        <f aca="false">nb_fondateurs</f>
        <v>2</v>
      </c>
      <c r="AA32" s="45" t="n">
        <f aca="false">nb_fondateurs</f>
        <v>2</v>
      </c>
      <c r="AB32" s="45" t="n">
        <f aca="false">nb_fondateurs</f>
        <v>2</v>
      </c>
      <c r="AC32" s="45" t="n">
        <f aca="false">nb_fondateurs</f>
        <v>2</v>
      </c>
      <c r="AD32" s="45" t="n">
        <f aca="false">nb_fondateurs</f>
        <v>2</v>
      </c>
      <c r="AE32" s="45" t="n">
        <f aca="false">nb_fondateurs</f>
        <v>2</v>
      </c>
      <c r="AF32" s="45" t="n">
        <f aca="false">nb_fondateurs</f>
        <v>2</v>
      </c>
      <c r="AG32" s="45" t="n">
        <f aca="false">nb_fondateurs</f>
        <v>2</v>
      </c>
      <c r="AH32" s="45" t="n">
        <f aca="false">nb_fondateurs</f>
        <v>2</v>
      </c>
      <c r="AI32" s="45" t="n">
        <f aca="false">nb_fondateurs</f>
        <v>2</v>
      </c>
      <c r="AJ32" s="45" t="n">
        <f aca="false">nb_fondateurs</f>
        <v>2</v>
      </c>
      <c r="AK32" s="45" t="n">
        <f aca="false">nb_fondateurs</f>
        <v>2</v>
      </c>
      <c r="AL32" s="45" t="n">
        <f aca="false">nb_fondateurs</f>
        <v>2</v>
      </c>
      <c r="AM32" s="45" t="n">
        <f aca="false">nb_fondateurs</f>
        <v>2</v>
      </c>
      <c r="AO32" s="45" t="n">
        <f aca="false">INDEX($D32:$AM32,(AO$4-annee_debut)*12+12)</f>
        <v>2</v>
      </c>
      <c r="AP32" s="45" t="n">
        <f aca="false">INDEX($D32:$AM32,(AP$4-annee_debut)*12+12)</f>
        <v>2</v>
      </c>
      <c r="AQ32" s="45" t="n">
        <f aca="false">INDEX($D32:$AM32,(AQ$4-annee_debut)*12+12)</f>
        <v>2</v>
      </c>
    </row>
    <row r="33" customFormat="false" ht="15" hidden="false" customHeight="false" outlineLevel="0" collapsed="false">
      <c r="A33" s="11" t="s">
        <v>402</v>
      </c>
      <c r="B33" s="13" t="s">
        <v>366</v>
      </c>
      <c r="C33" s="50" t="n">
        <v>0</v>
      </c>
      <c r="D33" s="44" t="n">
        <f aca="false">SUM(D28:D32)</f>
        <v>4</v>
      </c>
      <c r="E33" s="44" t="n">
        <f aca="false">SUM(E28:E32)</f>
        <v>4</v>
      </c>
      <c r="F33" s="44" t="n">
        <f aca="false">SUM(F28:F32)</f>
        <v>4</v>
      </c>
      <c r="G33" s="44" t="n">
        <f aca="false">SUM(G28:G32)</f>
        <v>5</v>
      </c>
      <c r="H33" s="44" t="n">
        <f aca="false">SUM(H28:H32)</f>
        <v>5</v>
      </c>
      <c r="I33" s="44" t="n">
        <f aca="false">SUM(I28:I32)</f>
        <v>5</v>
      </c>
      <c r="J33" s="44" t="n">
        <f aca="false">SUM(J28:J32)</f>
        <v>5</v>
      </c>
      <c r="K33" s="44" t="n">
        <f aca="false">SUM(K28:K32)</f>
        <v>5</v>
      </c>
      <c r="L33" s="44" t="n">
        <f aca="false">SUM(L28:L32)</f>
        <v>5</v>
      </c>
      <c r="M33" s="44" t="n">
        <f aca="false">SUM(M28:M32)</f>
        <v>6</v>
      </c>
      <c r="N33" s="44" t="n">
        <f aca="false">SUM(N28:N32)</f>
        <v>6</v>
      </c>
      <c r="O33" s="44" t="n">
        <f aca="false">SUM(O28:O32)</f>
        <v>6</v>
      </c>
      <c r="P33" s="44" t="n">
        <f aca="false">SUM(P28:P32)</f>
        <v>7</v>
      </c>
      <c r="Q33" s="44" t="n">
        <f aca="false">SUM(Q28:Q32)</f>
        <v>8</v>
      </c>
      <c r="R33" s="44" t="n">
        <f aca="false">SUM(R28:R32)</f>
        <v>8</v>
      </c>
      <c r="S33" s="44" t="n">
        <f aca="false">SUM(S28:S32)</f>
        <v>9</v>
      </c>
      <c r="T33" s="44" t="n">
        <f aca="false">SUM(T28:T32)</f>
        <v>9</v>
      </c>
      <c r="U33" s="44" t="n">
        <f aca="false">SUM(U28:U32)</f>
        <v>9</v>
      </c>
      <c r="V33" s="44" t="n">
        <f aca="false">SUM(V28:V32)</f>
        <v>11</v>
      </c>
      <c r="W33" s="44" t="n">
        <f aca="false">SUM(W28:W32)</f>
        <v>10</v>
      </c>
      <c r="X33" s="44" t="n">
        <f aca="false">SUM(X28:X32)</f>
        <v>12</v>
      </c>
      <c r="Y33" s="44" t="n">
        <f aca="false">SUM(Y28:Y32)</f>
        <v>12</v>
      </c>
      <c r="Z33" s="44" t="n">
        <f aca="false">SUM(Z28:Z32)</f>
        <v>12</v>
      </c>
      <c r="AA33" s="44" t="n">
        <f aca="false">SUM(AA28:AA32)</f>
        <v>12</v>
      </c>
      <c r="AB33" s="44" t="n">
        <f aca="false">SUM(AB28:AB32)</f>
        <v>12</v>
      </c>
      <c r="AC33" s="44" t="n">
        <f aca="false">SUM(AC28:AC32)</f>
        <v>12</v>
      </c>
      <c r="AD33" s="44" t="n">
        <f aca="false">SUM(AD28:AD32)</f>
        <v>14</v>
      </c>
      <c r="AE33" s="44" t="n">
        <f aca="false">SUM(AE28:AE32)</f>
        <v>14</v>
      </c>
      <c r="AF33" s="44" t="n">
        <f aca="false">SUM(AF28:AF32)</f>
        <v>15</v>
      </c>
      <c r="AG33" s="44" t="n">
        <f aca="false">SUM(AG28:AG32)</f>
        <v>16</v>
      </c>
      <c r="AH33" s="44" t="n">
        <f aca="false">SUM(AH28:AH32)</f>
        <v>16</v>
      </c>
      <c r="AI33" s="44" t="n">
        <f aca="false">SUM(AI28:AI32)</f>
        <v>14</v>
      </c>
      <c r="AJ33" s="44" t="n">
        <f aca="false">SUM(AJ28:AJ32)</f>
        <v>17</v>
      </c>
      <c r="AK33" s="44" t="n">
        <f aca="false">SUM(AK28:AK32)</f>
        <v>17</v>
      </c>
      <c r="AL33" s="44" t="n">
        <f aca="false">SUM(AL28:AL32)</f>
        <v>17</v>
      </c>
      <c r="AM33" s="44" t="n">
        <f aca="false">SUM(AM28:AM32)</f>
        <v>18</v>
      </c>
      <c r="AO33" s="44" t="n">
        <f aca="false">INDEX($D33:$AM33,(AO$4-annee_debut)*12+12)</f>
        <v>6</v>
      </c>
      <c r="AP33" s="44" t="n">
        <f aca="false">INDEX($D33:$AM33,(AP$4-annee_debut)*12+12)</f>
        <v>12</v>
      </c>
      <c r="AQ33" s="44" t="n">
        <f aca="false">INDEX($D33:$AM33,(AQ$4-annee_debut)*12+12)</f>
        <v>18</v>
      </c>
    </row>
    <row r="34" customFormat="false" ht="15" hidden="false" customHeight="false" outlineLevel="0" collapsed="false">
      <c r="A34" s="5" t="s">
        <v>403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</row>
    <row r="35" customFormat="false" ht="15" hidden="false" customHeight="false" outlineLevel="0" collapsed="false">
      <c r="A35" s="10" t="s">
        <v>404</v>
      </c>
      <c r="B35" s="13" t="s">
        <v>183</v>
      </c>
      <c r="C35" s="50" t="n">
        <v>0</v>
      </c>
      <c r="D35" s="45" t="n">
        <f aca="false">IF(D$6&gt;mois_decision,regle_decision*IF(OR(INDEX($D$10:$AM$10,mois_decision)&lt;seuil_decision_pdv,prix_rotation_a&lt;seuil_prix,cout_lavage_a+cout_logistique_a+taux_perte_a*cout_contenant&gt;seuil_cout_variable),1,0),0)</f>
        <v>0</v>
      </c>
      <c r="E35" s="45" t="n">
        <f aca="false">IF(E$6&gt;mois_decision,regle_decision*IF(OR(INDEX($D$10:$AM$10,mois_decision)&lt;seuil_decision_pdv,prix_rotation_a&lt;seuil_prix,cout_lavage_a+cout_logistique_a+taux_perte_a*cout_contenant&gt;seuil_cout_variable),1,0),0)</f>
        <v>0</v>
      </c>
      <c r="F35" s="45" t="n">
        <f aca="false">IF(F$6&gt;mois_decision,regle_decision*IF(OR(INDEX($D$10:$AM$10,mois_decision)&lt;seuil_decision_pdv,prix_rotation_a&lt;seuil_prix,cout_lavage_a+cout_logistique_a+taux_perte_a*cout_contenant&gt;seuil_cout_variable),1,0),0)</f>
        <v>0</v>
      </c>
      <c r="G35" s="45" t="n">
        <f aca="false">IF(G$6&gt;mois_decision,regle_decision*IF(OR(INDEX($D$10:$AM$10,mois_decision)&lt;seuil_decision_pdv,prix_rotation_a&lt;seuil_prix,cout_lavage_a+cout_logistique_a+taux_perte_a*cout_contenant&gt;seuil_cout_variable),1,0),0)</f>
        <v>0</v>
      </c>
      <c r="H35" s="45" t="n">
        <f aca="false">IF(H$6&gt;mois_decision,regle_decision*IF(OR(INDEX($D$10:$AM$10,mois_decision)&lt;seuil_decision_pdv,prix_rotation_a&lt;seuil_prix,cout_lavage_a+cout_logistique_a+taux_perte_a*cout_contenant&gt;seuil_cout_variable),1,0),0)</f>
        <v>0</v>
      </c>
      <c r="I35" s="45" t="n">
        <f aca="false">IF(I$6&gt;mois_decision,regle_decision*IF(OR(INDEX($D$10:$AM$10,mois_decision)&lt;seuil_decision_pdv,prix_rotation_a&lt;seuil_prix,cout_lavage_a+cout_logistique_a+taux_perte_a*cout_contenant&gt;seuil_cout_variable),1,0),0)</f>
        <v>0</v>
      </c>
      <c r="J35" s="45" t="n">
        <f aca="false">IF(J$6&gt;mois_decision,regle_decision*IF(OR(INDEX($D$10:$AM$10,mois_decision)&lt;seuil_decision_pdv,prix_rotation_a&lt;seuil_prix,cout_lavage_a+cout_logistique_a+taux_perte_a*cout_contenant&gt;seuil_cout_variable),1,0),0)</f>
        <v>0</v>
      </c>
      <c r="K35" s="45" t="n">
        <f aca="false">IF(K$6&gt;mois_decision,regle_decision*IF(OR(INDEX($D$10:$AM$10,mois_decision)&lt;seuil_decision_pdv,prix_rotation_a&lt;seuil_prix,cout_lavage_a+cout_logistique_a+taux_perte_a*cout_contenant&gt;seuil_cout_variable),1,0),0)</f>
        <v>0</v>
      </c>
      <c r="L35" s="45" t="n">
        <f aca="false">IF(L$6&gt;mois_decision,regle_decision*IF(OR(INDEX($D$10:$AM$10,mois_decision)&lt;seuil_decision_pdv,prix_rotation_a&lt;seuil_prix,cout_lavage_a+cout_logistique_a+taux_perte_a*cout_contenant&gt;seuil_cout_variable),1,0),0)</f>
        <v>0</v>
      </c>
      <c r="M35" s="45" t="n">
        <f aca="false">IF(M$6&gt;mois_decision,regle_decision*IF(OR(INDEX($D$10:$AM$10,mois_decision)&lt;seuil_decision_pdv,prix_rotation_a&lt;seuil_prix,cout_lavage_a+cout_logistique_a+taux_perte_a*cout_contenant&gt;seuil_cout_variable),1,0),0)</f>
        <v>0</v>
      </c>
      <c r="N35" s="45" t="n">
        <f aca="false">IF(N$6&gt;mois_decision,regle_decision*IF(OR(INDEX($D$10:$AM$10,mois_decision)&lt;seuil_decision_pdv,prix_rotation_a&lt;seuil_prix,cout_lavage_a+cout_logistique_a+taux_perte_a*cout_contenant&gt;seuil_cout_variable),1,0),0)</f>
        <v>0</v>
      </c>
      <c r="O35" s="45" t="n">
        <f aca="false">IF(O$6&gt;mois_decision,regle_decision*IF(OR(INDEX($D$10:$AM$10,mois_decision)&lt;seuil_decision_pdv,prix_rotation_a&lt;seuil_prix,cout_lavage_a+cout_logistique_a+taux_perte_a*cout_contenant&gt;seuil_cout_variable),1,0),0)</f>
        <v>0</v>
      </c>
      <c r="P35" s="45" t="n">
        <f aca="false">IF(P$6&gt;mois_decision,regle_decision*IF(OR(INDEX($D$10:$AM$10,mois_decision)&lt;seuil_decision_pdv,prix_rotation_a&lt;seuil_prix,cout_lavage_a+cout_logistique_a+taux_perte_a*cout_contenant&gt;seuil_cout_variable),1,0),0)</f>
        <v>0</v>
      </c>
      <c r="Q35" s="45" t="n">
        <f aca="false">IF(Q$6&gt;mois_decision,regle_decision*IF(OR(INDEX($D$10:$AM$10,mois_decision)&lt;seuil_decision_pdv,prix_rotation_a&lt;seuil_prix,cout_lavage_a+cout_logistique_a+taux_perte_a*cout_contenant&gt;seuil_cout_variable),1,0),0)</f>
        <v>0</v>
      </c>
      <c r="R35" s="45" t="n">
        <f aca="false">IF(R$6&gt;mois_decision,regle_decision*IF(OR(INDEX($D$10:$AM$10,mois_decision)&lt;seuil_decision_pdv,prix_rotation_a&lt;seuil_prix,cout_lavage_a+cout_logistique_a+taux_perte_a*cout_contenant&gt;seuil_cout_variable),1,0),0)</f>
        <v>0</v>
      </c>
      <c r="S35" s="45" t="n">
        <f aca="false">IF(S$6&gt;mois_decision,regle_decision*IF(OR(INDEX($D$10:$AM$10,mois_decision)&lt;seuil_decision_pdv,prix_rotation_a&lt;seuil_prix,cout_lavage_a+cout_logistique_a+taux_perte_a*cout_contenant&gt;seuil_cout_variable),1,0),0)</f>
        <v>0</v>
      </c>
      <c r="T35" s="45" t="n">
        <f aca="false">IF(T$6&gt;mois_decision,regle_decision*IF(OR(INDEX($D$10:$AM$10,mois_decision)&lt;seuil_decision_pdv,prix_rotation_a&lt;seuil_prix,cout_lavage_a+cout_logistique_a+taux_perte_a*cout_contenant&gt;seuil_cout_variable),1,0),0)</f>
        <v>0</v>
      </c>
      <c r="U35" s="45" t="n">
        <f aca="false">IF(U$6&gt;mois_decision,regle_decision*IF(OR(INDEX($D$10:$AM$10,mois_decision)&lt;seuil_decision_pdv,prix_rotation_a&lt;seuil_prix,cout_lavage_a+cout_logistique_a+taux_perte_a*cout_contenant&gt;seuil_cout_variable),1,0),0)</f>
        <v>0</v>
      </c>
      <c r="V35" s="45" t="n">
        <f aca="false">IF(V$6&gt;mois_decision,regle_decision*IF(OR(INDEX($D$10:$AM$10,mois_decision)&lt;seuil_decision_pdv,prix_rotation_a&lt;seuil_prix,cout_lavage_a+cout_logistique_a+taux_perte_a*cout_contenant&gt;seuil_cout_variable),1,0),0)</f>
        <v>0</v>
      </c>
      <c r="W35" s="45" t="n">
        <f aca="false">IF(W$6&gt;mois_decision,regle_decision*IF(OR(INDEX($D$10:$AM$10,mois_decision)&lt;seuil_decision_pdv,prix_rotation_a&lt;seuil_prix,cout_lavage_a+cout_logistique_a+taux_perte_a*cout_contenant&gt;seuil_cout_variable),1,0),0)</f>
        <v>0</v>
      </c>
      <c r="X35" s="45" t="n">
        <f aca="false">IF(X$6&gt;mois_decision,regle_decision*IF(OR(INDEX($D$10:$AM$10,mois_decision)&lt;seuil_decision_pdv,prix_rotation_a&lt;seuil_prix,cout_lavage_a+cout_logistique_a+taux_perte_a*cout_contenant&gt;seuil_cout_variable),1,0),0)</f>
        <v>0</v>
      </c>
      <c r="Y35" s="45" t="n">
        <f aca="false">IF(Y$6&gt;mois_decision,regle_decision*IF(OR(INDEX($D$10:$AM$10,mois_decision)&lt;seuil_decision_pdv,prix_rotation_a&lt;seuil_prix,cout_lavage_a+cout_logistique_a+taux_perte_a*cout_contenant&gt;seuil_cout_variable),1,0),0)</f>
        <v>0</v>
      </c>
      <c r="Z35" s="45" t="n">
        <f aca="false">IF(Z$6&gt;mois_decision,regle_decision*IF(OR(INDEX($D$10:$AM$10,mois_decision)&lt;seuil_decision_pdv,prix_rotation_a&lt;seuil_prix,cout_lavage_a+cout_logistique_a+taux_perte_a*cout_contenant&gt;seuil_cout_variable),1,0),0)</f>
        <v>0</v>
      </c>
      <c r="AA35" s="45" t="n">
        <f aca="false">IF(AA$6&gt;mois_decision,regle_decision*IF(OR(INDEX($D$10:$AM$10,mois_decision)&lt;seuil_decision_pdv,prix_rotation_a&lt;seuil_prix,cout_lavage_a+cout_logistique_a+taux_perte_a*cout_contenant&gt;seuil_cout_variable),1,0),0)</f>
        <v>0</v>
      </c>
      <c r="AB35" s="45" t="n">
        <f aca="false">IF(AB$6&gt;mois_decision,regle_decision*IF(OR(INDEX($D$10:$AM$10,mois_decision)&lt;seuil_decision_pdv,prix_rotation_a&lt;seuil_prix,cout_lavage_a+cout_logistique_a+taux_perte_a*cout_contenant&gt;seuil_cout_variable),1,0),0)</f>
        <v>0</v>
      </c>
      <c r="AC35" s="45" t="n">
        <f aca="false">IF(AC$6&gt;mois_decision,regle_decision*IF(OR(INDEX($D$10:$AM$10,mois_decision)&lt;seuil_decision_pdv,prix_rotation_a&lt;seuil_prix,cout_lavage_a+cout_logistique_a+taux_perte_a*cout_contenant&gt;seuil_cout_variable),1,0),0)</f>
        <v>0</v>
      </c>
      <c r="AD35" s="45" t="n">
        <f aca="false">IF(AD$6&gt;mois_decision,regle_decision*IF(OR(INDEX($D$10:$AM$10,mois_decision)&lt;seuil_decision_pdv,prix_rotation_a&lt;seuil_prix,cout_lavage_a+cout_logistique_a+taux_perte_a*cout_contenant&gt;seuil_cout_variable),1,0),0)</f>
        <v>0</v>
      </c>
      <c r="AE35" s="45" t="n">
        <f aca="false">IF(AE$6&gt;mois_decision,regle_decision*IF(OR(INDEX($D$10:$AM$10,mois_decision)&lt;seuil_decision_pdv,prix_rotation_a&lt;seuil_prix,cout_lavage_a+cout_logistique_a+taux_perte_a*cout_contenant&gt;seuil_cout_variable),1,0),0)</f>
        <v>0</v>
      </c>
      <c r="AF35" s="45" t="n">
        <f aca="false">IF(AF$6&gt;mois_decision,regle_decision*IF(OR(INDEX($D$10:$AM$10,mois_decision)&lt;seuil_decision_pdv,prix_rotation_a&lt;seuil_prix,cout_lavage_a+cout_logistique_a+taux_perte_a*cout_contenant&gt;seuil_cout_variable),1,0),0)</f>
        <v>0</v>
      </c>
      <c r="AG35" s="45" t="n">
        <f aca="false">IF(AG$6&gt;mois_decision,regle_decision*IF(OR(INDEX($D$10:$AM$10,mois_decision)&lt;seuil_decision_pdv,prix_rotation_a&lt;seuil_prix,cout_lavage_a+cout_logistique_a+taux_perte_a*cout_contenant&gt;seuil_cout_variable),1,0),0)</f>
        <v>0</v>
      </c>
      <c r="AH35" s="45" t="n">
        <f aca="false">IF(AH$6&gt;mois_decision,regle_decision*IF(OR(INDEX($D$10:$AM$10,mois_decision)&lt;seuil_decision_pdv,prix_rotation_a&lt;seuil_prix,cout_lavage_a+cout_logistique_a+taux_perte_a*cout_contenant&gt;seuil_cout_variable),1,0),0)</f>
        <v>0</v>
      </c>
      <c r="AI35" s="45" t="n">
        <f aca="false">IF(AI$6&gt;mois_decision,regle_decision*IF(OR(INDEX($D$10:$AM$10,mois_decision)&lt;seuil_decision_pdv,prix_rotation_a&lt;seuil_prix,cout_lavage_a+cout_logistique_a+taux_perte_a*cout_contenant&gt;seuil_cout_variable),1,0),0)</f>
        <v>0</v>
      </c>
      <c r="AJ35" s="45" t="n">
        <f aca="false">IF(AJ$6&gt;mois_decision,regle_decision*IF(OR(INDEX($D$10:$AM$10,mois_decision)&lt;seuil_decision_pdv,prix_rotation_a&lt;seuil_prix,cout_lavage_a+cout_logistique_a+taux_perte_a*cout_contenant&gt;seuil_cout_variable),1,0),0)</f>
        <v>0</v>
      </c>
      <c r="AK35" s="45" t="n">
        <f aca="false">IF(AK$6&gt;mois_decision,regle_decision*IF(OR(INDEX($D$10:$AM$10,mois_decision)&lt;seuil_decision_pdv,prix_rotation_a&lt;seuil_prix,cout_lavage_a+cout_logistique_a+taux_perte_a*cout_contenant&gt;seuil_cout_variable),1,0),0)</f>
        <v>0</v>
      </c>
      <c r="AL35" s="45" t="n">
        <f aca="false">IF(AL$6&gt;mois_decision,regle_decision*IF(OR(INDEX($D$10:$AM$10,mois_decision)&lt;seuil_decision_pdv,prix_rotation_a&lt;seuil_prix,cout_lavage_a+cout_logistique_a+taux_perte_a*cout_contenant&gt;seuil_cout_variable),1,0),0)</f>
        <v>0</v>
      </c>
      <c r="AM35" s="45" t="n">
        <f aca="false">IF(AM$6&gt;mois_decision,regle_decision*IF(OR(INDEX($D$10:$AM$10,mois_decision)&lt;seuil_decision_pdv,prix_rotation_a&lt;seuil_prix,cout_lavage_a+cout_logistique_a+taux_perte_a*cout_contenant&gt;seuil_cout_variable),1,0),0)</f>
        <v>0</v>
      </c>
      <c r="AO35" s="45" t="n">
        <f aca="false">INDEX($D35:$AM35,(AO$4-annee_debut)*12+12)</f>
        <v>0</v>
      </c>
      <c r="AP35" s="45" t="n">
        <f aca="false">INDEX($D35:$AM35,(AP$4-annee_debut)*12+12)</f>
        <v>0</v>
      </c>
      <c r="AQ35" s="45" t="n">
        <f aca="false">INDEX($D35:$AM35,(AQ$4-annee_debut)*12+12)</f>
        <v>0</v>
      </c>
    </row>
    <row r="36" customFormat="false" ht="15" hidden="false" customHeight="false" outlineLevel="0" collapsed="false">
      <c r="A36" s="5" t="s">
        <v>267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</row>
    <row r="37" customFormat="false" ht="15" hidden="false" customHeight="false" outlineLevel="0" collapsed="false">
      <c r="A37" s="10" t="s">
        <v>405</v>
      </c>
      <c r="B37" s="13" t="s">
        <v>161</v>
      </c>
      <c r="C37" s="50" t="n">
        <v>0</v>
      </c>
      <c r="D37" s="45" t="n">
        <f aca="false">D32*IF(D35=1,rem_fondateur_a1,CHOOSE(D$4-annee_debut+1,rem_fondateur_a1,rem_fondateur_a2,rem_fondateur_a3))/12</f>
        <v>5000</v>
      </c>
      <c r="E37" s="45" t="n">
        <f aca="false">E32*IF(E35=1,rem_fondateur_a1,CHOOSE(E$4-annee_debut+1,rem_fondateur_a1,rem_fondateur_a2,rem_fondateur_a3))/12</f>
        <v>5000</v>
      </c>
      <c r="F37" s="45" t="n">
        <f aca="false">F32*IF(F35=1,rem_fondateur_a1,CHOOSE(F$4-annee_debut+1,rem_fondateur_a1,rem_fondateur_a2,rem_fondateur_a3))/12</f>
        <v>5000</v>
      </c>
      <c r="G37" s="45" t="n">
        <f aca="false">G32*IF(G35=1,rem_fondateur_a1,CHOOSE(G$4-annee_debut+1,rem_fondateur_a1,rem_fondateur_a2,rem_fondateur_a3))/12</f>
        <v>5000</v>
      </c>
      <c r="H37" s="45" t="n">
        <f aca="false">H32*IF(H35=1,rem_fondateur_a1,CHOOSE(H$4-annee_debut+1,rem_fondateur_a1,rem_fondateur_a2,rem_fondateur_a3))/12</f>
        <v>5000</v>
      </c>
      <c r="I37" s="45" t="n">
        <f aca="false">I32*IF(I35=1,rem_fondateur_a1,CHOOSE(I$4-annee_debut+1,rem_fondateur_a1,rem_fondateur_a2,rem_fondateur_a3))/12</f>
        <v>5000</v>
      </c>
      <c r="J37" s="45" t="n">
        <f aca="false">J32*IF(J35=1,rem_fondateur_a1,CHOOSE(J$4-annee_debut+1,rem_fondateur_a1,rem_fondateur_a2,rem_fondateur_a3))/12</f>
        <v>5000</v>
      </c>
      <c r="K37" s="45" t="n">
        <f aca="false">K32*IF(K35=1,rem_fondateur_a1,CHOOSE(K$4-annee_debut+1,rem_fondateur_a1,rem_fondateur_a2,rem_fondateur_a3))/12</f>
        <v>5000</v>
      </c>
      <c r="L37" s="45" t="n">
        <f aca="false">L32*IF(L35=1,rem_fondateur_a1,CHOOSE(L$4-annee_debut+1,rem_fondateur_a1,rem_fondateur_a2,rem_fondateur_a3))/12</f>
        <v>5000</v>
      </c>
      <c r="M37" s="45" t="n">
        <f aca="false">M32*IF(M35=1,rem_fondateur_a1,CHOOSE(M$4-annee_debut+1,rem_fondateur_a1,rem_fondateur_a2,rem_fondateur_a3))/12</f>
        <v>5000</v>
      </c>
      <c r="N37" s="45" t="n">
        <f aca="false">N32*IF(N35=1,rem_fondateur_a1,CHOOSE(N$4-annee_debut+1,rem_fondateur_a1,rem_fondateur_a2,rem_fondateur_a3))/12</f>
        <v>5000</v>
      </c>
      <c r="O37" s="45" t="n">
        <f aca="false">O32*IF(O35=1,rem_fondateur_a1,CHOOSE(O$4-annee_debut+1,rem_fondateur_a1,rem_fondateur_a2,rem_fondateur_a3))/12</f>
        <v>5000</v>
      </c>
      <c r="P37" s="45" t="n">
        <f aca="false">P32*IF(P35=1,rem_fondateur_a1,CHOOSE(P$4-annee_debut+1,rem_fondateur_a1,rem_fondateur_a2,rem_fondateur_a3))/12</f>
        <v>7000</v>
      </c>
      <c r="Q37" s="45" t="n">
        <f aca="false">Q32*IF(Q35=1,rem_fondateur_a1,CHOOSE(Q$4-annee_debut+1,rem_fondateur_a1,rem_fondateur_a2,rem_fondateur_a3))/12</f>
        <v>7000</v>
      </c>
      <c r="R37" s="45" t="n">
        <f aca="false">R32*IF(R35=1,rem_fondateur_a1,CHOOSE(R$4-annee_debut+1,rem_fondateur_a1,rem_fondateur_a2,rem_fondateur_a3))/12</f>
        <v>7000</v>
      </c>
      <c r="S37" s="45" t="n">
        <f aca="false">S32*IF(S35=1,rem_fondateur_a1,CHOOSE(S$4-annee_debut+1,rem_fondateur_a1,rem_fondateur_a2,rem_fondateur_a3))/12</f>
        <v>7000</v>
      </c>
      <c r="T37" s="45" t="n">
        <f aca="false">T32*IF(T35=1,rem_fondateur_a1,CHOOSE(T$4-annee_debut+1,rem_fondateur_a1,rem_fondateur_a2,rem_fondateur_a3))/12</f>
        <v>7000</v>
      </c>
      <c r="U37" s="45" t="n">
        <f aca="false">U32*IF(U35=1,rem_fondateur_a1,CHOOSE(U$4-annee_debut+1,rem_fondateur_a1,rem_fondateur_a2,rem_fondateur_a3))/12</f>
        <v>7000</v>
      </c>
      <c r="V37" s="45" t="n">
        <f aca="false">V32*IF(V35=1,rem_fondateur_a1,CHOOSE(V$4-annee_debut+1,rem_fondateur_a1,rem_fondateur_a2,rem_fondateur_a3))/12</f>
        <v>7000</v>
      </c>
      <c r="W37" s="45" t="n">
        <f aca="false">W32*IF(W35=1,rem_fondateur_a1,CHOOSE(W$4-annee_debut+1,rem_fondateur_a1,rem_fondateur_a2,rem_fondateur_a3))/12</f>
        <v>7000</v>
      </c>
      <c r="X37" s="45" t="n">
        <f aca="false">X32*IF(X35=1,rem_fondateur_a1,CHOOSE(X$4-annee_debut+1,rem_fondateur_a1,rem_fondateur_a2,rem_fondateur_a3))/12</f>
        <v>7000</v>
      </c>
      <c r="Y37" s="45" t="n">
        <f aca="false">Y32*IF(Y35=1,rem_fondateur_a1,CHOOSE(Y$4-annee_debut+1,rem_fondateur_a1,rem_fondateur_a2,rem_fondateur_a3))/12</f>
        <v>7000</v>
      </c>
      <c r="Z37" s="45" t="n">
        <f aca="false">Z32*IF(Z35=1,rem_fondateur_a1,CHOOSE(Z$4-annee_debut+1,rem_fondateur_a1,rem_fondateur_a2,rem_fondateur_a3))/12</f>
        <v>7000</v>
      </c>
      <c r="AA37" s="45" t="n">
        <f aca="false">AA32*IF(AA35=1,rem_fondateur_a1,CHOOSE(AA$4-annee_debut+1,rem_fondateur_a1,rem_fondateur_a2,rem_fondateur_a3))/12</f>
        <v>7000</v>
      </c>
      <c r="AB37" s="45" t="n">
        <f aca="false">AB32*IF(AB35=1,rem_fondateur_a1,CHOOSE(AB$4-annee_debut+1,rem_fondateur_a1,rem_fondateur_a2,rem_fondateur_a3))/12</f>
        <v>9000</v>
      </c>
      <c r="AC37" s="45" t="n">
        <f aca="false">AC32*IF(AC35=1,rem_fondateur_a1,CHOOSE(AC$4-annee_debut+1,rem_fondateur_a1,rem_fondateur_a2,rem_fondateur_a3))/12</f>
        <v>9000</v>
      </c>
      <c r="AD37" s="45" t="n">
        <f aca="false">AD32*IF(AD35=1,rem_fondateur_a1,CHOOSE(AD$4-annee_debut+1,rem_fondateur_a1,rem_fondateur_a2,rem_fondateur_a3))/12</f>
        <v>9000</v>
      </c>
      <c r="AE37" s="45" t="n">
        <f aca="false">AE32*IF(AE35=1,rem_fondateur_a1,CHOOSE(AE$4-annee_debut+1,rem_fondateur_a1,rem_fondateur_a2,rem_fondateur_a3))/12</f>
        <v>9000</v>
      </c>
      <c r="AF37" s="45" t="n">
        <f aca="false">AF32*IF(AF35=1,rem_fondateur_a1,CHOOSE(AF$4-annee_debut+1,rem_fondateur_a1,rem_fondateur_a2,rem_fondateur_a3))/12</f>
        <v>9000</v>
      </c>
      <c r="AG37" s="45" t="n">
        <f aca="false">AG32*IF(AG35=1,rem_fondateur_a1,CHOOSE(AG$4-annee_debut+1,rem_fondateur_a1,rem_fondateur_a2,rem_fondateur_a3))/12</f>
        <v>9000</v>
      </c>
      <c r="AH37" s="45" t="n">
        <f aca="false">AH32*IF(AH35=1,rem_fondateur_a1,CHOOSE(AH$4-annee_debut+1,rem_fondateur_a1,rem_fondateur_a2,rem_fondateur_a3))/12</f>
        <v>9000</v>
      </c>
      <c r="AI37" s="45" t="n">
        <f aca="false">AI32*IF(AI35=1,rem_fondateur_a1,CHOOSE(AI$4-annee_debut+1,rem_fondateur_a1,rem_fondateur_a2,rem_fondateur_a3))/12</f>
        <v>9000</v>
      </c>
      <c r="AJ37" s="45" t="n">
        <f aca="false">AJ32*IF(AJ35=1,rem_fondateur_a1,CHOOSE(AJ$4-annee_debut+1,rem_fondateur_a1,rem_fondateur_a2,rem_fondateur_a3))/12</f>
        <v>9000</v>
      </c>
      <c r="AK37" s="45" t="n">
        <f aca="false">AK32*IF(AK35=1,rem_fondateur_a1,CHOOSE(AK$4-annee_debut+1,rem_fondateur_a1,rem_fondateur_a2,rem_fondateur_a3))/12</f>
        <v>9000</v>
      </c>
      <c r="AL37" s="45" t="n">
        <f aca="false">AL32*IF(AL35=1,rem_fondateur_a1,CHOOSE(AL$4-annee_debut+1,rem_fondateur_a1,rem_fondateur_a2,rem_fondateur_a3))/12</f>
        <v>9000</v>
      </c>
      <c r="AM37" s="45" t="n">
        <f aca="false">AM32*IF(AM35=1,rem_fondateur_a1,CHOOSE(AM$4-annee_debut+1,rem_fondateur_a1,rem_fondateur_a2,rem_fondateur_a3))/12</f>
        <v>9000</v>
      </c>
      <c r="AO37" s="45" t="n">
        <f aca="false">SUMIF($D$4:$AM$4,AO$4,$D37:$AM37)</f>
        <v>60000</v>
      </c>
      <c r="AP37" s="45" t="n">
        <f aca="false">SUMIF($D$4:$AM$4,AP$4,$D37:$AM37)</f>
        <v>84000</v>
      </c>
      <c r="AQ37" s="45" t="n">
        <f aca="false">SUMIF($D$4:$AM$4,AQ$4,$D37:$AM37)</f>
        <v>108000</v>
      </c>
    </row>
    <row r="38" customFormat="false" ht="15" hidden="false" customHeight="false" outlineLevel="0" collapsed="false">
      <c r="A38" s="10" t="s">
        <v>406</v>
      </c>
      <c r="B38" s="13" t="s">
        <v>161</v>
      </c>
      <c r="C38" s="50" t="n">
        <v>0</v>
      </c>
      <c r="D38" s="45" t="n">
        <f aca="false">(D28*sal_operateur+D29*sal_chauffeur+D30*sal_commercial+D31*sal_responsable)/12*D15</f>
        <v>5833.33333333333</v>
      </c>
      <c r="E38" s="45" t="n">
        <f aca="false">(E28*sal_operateur+E29*sal_chauffeur+E30*sal_commercial+E31*sal_responsable)/12*E15</f>
        <v>5833.33333333333</v>
      </c>
      <c r="F38" s="45" t="n">
        <f aca="false">(F28*sal_operateur+F29*sal_chauffeur+F30*sal_commercial+F31*sal_responsable)/12*F15</f>
        <v>5833.33333333333</v>
      </c>
      <c r="G38" s="45" t="n">
        <f aca="false">(G28*sal_operateur+G29*sal_chauffeur+G30*sal_commercial+G31*sal_responsable)/12*G15</f>
        <v>10666.6666666667</v>
      </c>
      <c r="H38" s="45" t="n">
        <f aca="false">(H28*sal_operateur+H29*sal_chauffeur+H30*sal_commercial+H31*sal_responsable)/12*H15</f>
        <v>10666.6666666667</v>
      </c>
      <c r="I38" s="45" t="n">
        <f aca="false">(I28*sal_operateur+I29*sal_chauffeur+I30*sal_commercial+I31*sal_responsable)/12*I15</f>
        <v>10666.6666666667</v>
      </c>
      <c r="J38" s="45" t="n">
        <f aca="false">(J28*sal_operateur+J29*sal_chauffeur+J30*sal_commercial+J31*sal_responsable)/12*J15</f>
        <v>10666.6666666667</v>
      </c>
      <c r="K38" s="45" t="n">
        <f aca="false">(K28*sal_operateur+K29*sal_chauffeur+K30*sal_commercial+K31*sal_responsable)/12*K15</f>
        <v>10666.6666666667</v>
      </c>
      <c r="L38" s="45" t="n">
        <f aca="false">(L28*sal_operateur+L29*sal_chauffeur+L30*sal_commercial+L31*sal_responsable)/12*L15</f>
        <v>10666.6666666667</v>
      </c>
      <c r="M38" s="45" t="n">
        <f aca="false">(M28*sal_operateur+M29*sal_chauffeur+M30*sal_commercial+M31*sal_responsable)/12*M15</f>
        <v>13666.6666666667</v>
      </c>
      <c r="N38" s="45" t="n">
        <f aca="false">(N28*sal_operateur+N29*sal_chauffeur+N30*sal_commercial+N31*sal_responsable)/12*N15</f>
        <v>13666.6666666667</v>
      </c>
      <c r="O38" s="45" t="n">
        <f aca="false">(O28*sal_operateur+O29*sal_chauffeur+O30*sal_commercial+O31*sal_responsable)/12*O15</f>
        <v>13666.6666666667</v>
      </c>
      <c r="P38" s="45" t="n">
        <f aca="false">(P28*sal_operateur+P29*sal_chauffeur+P30*sal_commercial+P31*sal_responsable)/12*P15</f>
        <v>18360</v>
      </c>
      <c r="Q38" s="45" t="n">
        <f aca="false">(Q28*sal_operateur+Q29*sal_chauffeur+Q30*sal_commercial+Q31*sal_responsable)/12*Q15</f>
        <v>21250</v>
      </c>
      <c r="R38" s="45" t="n">
        <f aca="false">(R28*sal_operateur+R29*sal_chauffeur+R30*sal_commercial+R31*sal_responsable)/12*R15</f>
        <v>21250</v>
      </c>
      <c r="S38" s="45" t="n">
        <f aca="false">(S28*sal_operateur+S29*sal_chauffeur+S30*sal_commercial+S31*sal_responsable)/12*S15</f>
        <v>24310</v>
      </c>
      <c r="T38" s="45" t="n">
        <f aca="false">(T28*sal_operateur+T29*sal_chauffeur+T30*sal_commercial+T31*sal_responsable)/12*T15</f>
        <v>24310</v>
      </c>
      <c r="U38" s="45" t="n">
        <f aca="false">(U28*sal_operateur+U29*sal_chauffeur+U30*sal_commercial+U31*sal_responsable)/12*U15</f>
        <v>24310</v>
      </c>
      <c r="V38" s="45" t="n">
        <f aca="false">(V28*sal_operateur+V29*sal_chauffeur+V30*sal_commercial+V31*sal_responsable)/12*V15</f>
        <v>32130</v>
      </c>
      <c r="W38" s="45" t="n">
        <f aca="false">(W28*sal_operateur+W29*sal_chauffeur+W30*sal_commercial+W31*sal_responsable)/12*W15</f>
        <v>29240</v>
      </c>
      <c r="X38" s="45" t="n">
        <f aca="false">(X28*sal_operateur+X29*sal_chauffeur+X30*sal_commercial+X31*sal_responsable)/12*X15</f>
        <v>35190</v>
      </c>
      <c r="Y38" s="45" t="n">
        <f aca="false">(Y28*sal_operateur+Y29*sal_chauffeur+Y30*sal_commercial+Y31*sal_responsable)/12*Y15</f>
        <v>35190</v>
      </c>
      <c r="Z38" s="45" t="n">
        <f aca="false">(Z28*sal_operateur+Z29*sal_chauffeur+Z30*sal_commercial+Z31*sal_responsable)/12*Z15</f>
        <v>35190</v>
      </c>
      <c r="AA38" s="45" t="n">
        <f aca="false">(AA28*sal_operateur+AA29*sal_chauffeur+AA30*sal_commercial+AA31*sal_responsable)/12*AA15</f>
        <v>35190</v>
      </c>
      <c r="AB38" s="45" t="n">
        <f aca="false">(AB28*sal_operateur+AB29*sal_chauffeur+AB30*sal_commercial+AB31*sal_responsable)/12*AB15</f>
        <v>35893.8</v>
      </c>
      <c r="AC38" s="45" t="n">
        <f aca="false">(AC28*sal_operateur+AC29*sal_chauffeur+AC30*sal_commercial+AC31*sal_responsable)/12*AC15</f>
        <v>35893.8</v>
      </c>
      <c r="AD38" s="45" t="n">
        <f aca="false">(AD28*sal_operateur+AD29*sal_chauffeur+AD30*sal_commercial+AD31*sal_responsable)/12*AD15</f>
        <v>41962.8</v>
      </c>
      <c r="AE38" s="45" t="n">
        <f aca="false">(AE28*sal_operateur+AE29*sal_chauffeur+AE30*sal_commercial+AE31*sal_responsable)/12*AE15</f>
        <v>41962.8</v>
      </c>
      <c r="AF38" s="45" t="n">
        <f aca="false">(AF28*sal_operateur+AF29*sal_chauffeur+AF30*sal_commercial+AF31*sal_responsable)/12*AF15</f>
        <v>45084</v>
      </c>
      <c r="AG38" s="45" t="n">
        <f aca="false">(AG28*sal_operateur+AG29*sal_chauffeur+AG30*sal_commercial+AG31*sal_responsable)/12*AG15</f>
        <v>48031.8</v>
      </c>
      <c r="AH38" s="45" t="n">
        <f aca="false">(AH28*sal_operateur+AH29*sal_chauffeur+AH30*sal_commercial+AH31*sal_responsable)/12*AH15</f>
        <v>48031.8</v>
      </c>
      <c r="AI38" s="45" t="n">
        <f aca="false">(AI28*sal_operateur+AI29*sal_chauffeur+AI30*sal_commercial+AI31*sal_responsable)/12*AI15</f>
        <v>41962.8</v>
      </c>
      <c r="AJ38" s="45" t="n">
        <f aca="false">(AJ28*sal_operateur+AJ29*sal_chauffeur+AJ30*sal_commercial+AJ31*sal_responsable)/12*AJ15</f>
        <v>51153</v>
      </c>
      <c r="AK38" s="45" t="n">
        <f aca="false">(AK28*sal_operateur+AK29*sal_chauffeur+AK30*sal_commercial+AK31*sal_responsable)/12*AK15</f>
        <v>51153</v>
      </c>
      <c r="AL38" s="45" t="n">
        <f aca="false">(AL28*sal_operateur+AL29*sal_chauffeur+AL30*sal_commercial+AL31*sal_responsable)/12*AL15</f>
        <v>51153</v>
      </c>
      <c r="AM38" s="45" t="n">
        <f aca="false">(AM28*sal_operateur+AM29*sal_chauffeur+AM30*sal_commercial+AM31*sal_responsable)/12*AM15</f>
        <v>54100.8</v>
      </c>
      <c r="AO38" s="45" t="n">
        <f aca="false">SUMIF($D$4:$AM$4,AO$4,$D38:$AM38)</f>
        <v>122500</v>
      </c>
      <c r="AP38" s="45" t="n">
        <f aca="false">SUMIF($D$4:$AM$4,AP$4,$D38:$AM38)</f>
        <v>335920</v>
      </c>
      <c r="AQ38" s="45" t="n">
        <f aca="false">SUMIF($D$4:$AM$4,AQ$4,$D38:$AM38)</f>
        <v>546383.4</v>
      </c>
    </row>
    <row r="39" customFormat="false" ht="15" hidden="false" customHeight="false" outlineLevel="0" collapsed="false">
      <c r="A39" s="11" t="s">
        <v>407</v>
      </c>
      <c r="B39" s="13" t="s">
        <v>161</v>
      </c>
      <c r="C39" s="50" t="n">
        <v>0</v>
      </c>
      <c r="D39" s="44" t="n">
        <f aca="false">D37+D38</f>
        <v>10833.3333333333</v>
      </c>
      <c r="E39" s="44" t="n">
        <f aca="false">E37+E38</f>
        <v>10833.3333333333</v>
      </c>
      <c r="F39" s="44" t="n">
        <f aca="false">F37+F38</f>
        <v>10833.3333333333</v>
      </c>
      <c r="G39" s="44" t="n">
        <f aca="false">G37+G38</f>
        <v>15666.6666666667</v>
      </c>
      <c r="H39" s="44" t="n">
        <f aca="false">H37+H38</f>
        <v>15666.6666666667</v>
      </c>
      <c r="I39" s="44" t="n">
        <f aca="false">I37+I38</f>
        <v>15666.6666666667</v>
      </c>
      <c r="J39" s="44" t="n">
        <f aca="false">J37+J38</f>
        <v>15666.6666666667</v>
      </c>
      <c r="K39" s="44" t="n">
        <f aca="false">K37+K38</f>
        <v>15666.6666666667</v>
      </c>
      <c r="L39" s="44" t="n">
        <f aca="false">L37+L38</f>
        <v>15666.6666666667</v>
      </c>
      <c r="M39" s="44" t="n">
        <f aca="false">M37+M38</f>
        <v>18666.6666666667</v>
      </c>
      <c r="N39" s="44" t="n">
        <f aca="false">N37+N38</f>
        <v>18666.6666666667</v>
      </c>
      <c r="O39" s="44" t="n">
        <f aca="false">O37+O38</f>
        <v>18666.6666666667</v>
      </c>
      <c r="P39" s="44" t="n">
        <f aca="false">P37+P38</f>
        <v>25360</v>
      </c>
      <c r="Q39" s="44" t="n">
        <f aca="false">Q37+Q38</f>
        <v>28250</v>
      </c>
      <c r="R39" s="44" t="n">
        <f aca="false">R37+R38</f>
        <v>28250</v>
      </c>
      <c r="S39" s="44" t="n">
        <f aca="false">S37+S38</f>
        <v>31310</v>
      </c>
      <c r="T39" s="44" t="n">
        <f aca="false">T37+T38</f>
        <v>31310</v>
      </c>
      <c r="U39" s="44" t="n">
        <f aca="false">U37+U38</f>
        <v>31310</v>
      </c>
      <c r="V39" s="44" t="n">
        <f aca="false">V37+V38</f>
        <v>39130</v>
      </c>
      <c r="W39" s="44" t="n">
        <f aca="false">W37+W38</f>
        <v>36240</v>
      </c>
      <c r="X39" s="44" t="n">
        <f aca="false">X37+X38</f>
        <v>42190</v>
      </c>
      <c r="Y39" s="44" t="n">
        <f aca="false">Y37+Y38</f>
        <v>42190</v>
      </c>
      <c r="Z39" s="44" t="n">
        <f aca="false">Z37+Z38</f>
        <v>42190</v>
      </c>
      <c r="AA39" s="44" t="n">
        <f aca="false">AA37+AA38</f>
        <v>42190</v>
      </c>
      <c r="AB39" s="44" t="n">
        <f aca="false">AB37+AB38</f>
        <v>44893.8</v>
      </c>
      <c r="AC39" s="44" t="n">
        <f aca="false">AC37+AC38</f>
        <v>44893.8</v>
      </c>
      <c r="AD39" s="44" t="n">
        <f aca="false">AD37+AD38</f>
        <v>50962.8</v>
      </c>
      <c r="AE39" s="44" t="n">
        <f aca="false">AE37+AE38</f>
        <v>50962.8</v>
      </c>
      <c r="AF39" s="44" t="n">
        <f aca="false">AF37+AF38</f>
        <v>54084</v>
      </c>
      <c r="AG39" s="44" t="n">
        <f aca="false">AG37+AG38</f>
        <v>57031.8</v>
      </c>
      <c r="AH39" s="44" t="n">
        <f aca="false">AH37+AH38</f>
        <v>57031.8</v>
      </c>
      <c r="AI39" s="44" t="n">
        <f aca="false">AI37+AI38</f>
        <v>50962.8</v>
      </c>
      <c r="AJ39" s="44" t="n">
        <f aca="false">AJ37+AJ38</f>
        <v>60153</v>
      </c>
      <c r="AK39" s="44" t="n">
        <f aca="false">AK37+AK38</f>
        <v>60153</v>
      </c>
      <c r="AL39" s="44" t="n">
        <f aca="false">AL37+AL38</f>
        <v>60153</v>
      </c>
      <c r="AM39" s="44" t="n">
        <f aca="false">AM37+AM38</f>
        <v>63100.8</v>
      </c>
      <c r="AO39" s="44" t="n">
        <f aca="false">SUMIF($D$4:$AM$4,AO$4,$D39:$AM39)</f>
        <v>182500</v>
      </c>
      <c r="AP39" s="44" t="n">
        <f aca="false">SUMIF($D$4:$AM$4,AP$4,$D39:$AM39)</f>
        <v>419920</v>
      </c>
      <c r="AQ39" s="44" t="n">
        <f aca="false">SUMIF($D$4:$AM$4,AQ$4,$D39:$AM39)</f>
        <v>654383.4</v>
      </c>
    </row>
    <row r="40" customFormat="false" ht="15" hidden="false" customHeight="false" outlineLevel="0" collapsed="false">
      <c r="A40" s="5" t="s">
        <v>268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</row>
    <row r="41" customFormat="false" ht="15" hidden="false" customHeight="false" outlineLevel="0" collapsed="false">
      <c r="A41" s="10" t="s">
        <v>279</v>
      </c>
      <c r="B41" s="13" t="s">
        <v>59</v>
      </c>
      <c r="C41" s="50" t="n">
        <v>0</v>
      </c>
      <c r="D41" s="45" t="n">
        <f aca="false">MAX(C41,MAX(1,ROUNDUP(D13/(cap_ligne*seuil_ligne),0)))</f>
        <v>1</v>
      </c>
      <c r="E41" s="45" t="n">
        <f aca="false">MAX(D41,MAX(1,ROUNDUP(E13/(cap_ligne*seuil_ligne),0)))</f>
        <v>1</v>
      </c>
      <c r="F41" s="45" t="n">
        <f aca="false">MAX(E41,MAX(1,ROUNDUP(F13/(cap_ligne*seuil_ligne),0)))</f>
        <v>1</v>
      </c>
      <c r="G41" s="45" t="n">
        <f aca="false">MAX(F41,MAX(1,ROUNDUP(G13/(cap_ligne*seuil_ligne),0)))</f>
        <v>1</v>
      </c>
      <c r="H41" s="45" t="n">
        <f aca="false">MAX(G41,MAX(1,ROUNDUP(H13/(cap_ligne*seuil_ligne),0)))</f>
        <v>1</v>
      </c>
      <c r="I41" s="45" t="n">
        <f aca="false">MAX(H41,MAX(1,ROUNDUP(I13/(cap_ligne*seuil_ligne),0)))</f>
        <v>1</v>
      </c>
      <c r="J41" s="45" t="n">
        <f aca="false">MAX(I41,MAX(1,ROUNDUP(J13/(cap_ligne*seuil_ligne),0)))</f>
        <v>1</v>
      </c>
      <c r="K41" s="45" t="n">
        <f aca="false">MAX(J41,MAX(1,ROUNDUP(K13/(cap_ligne*seuil_ligne),0)))</f>
        <v>1</v>
      </c>
      <c r="L41" s="45" t="n">
        <f aca="false">MAX(K41,MAX(1,ROUNDUP(L13/(cap_ligne*seuil_ligne),0)))</f>
        <v>1</v>
      </c>
      <c r="M41" s="45" t="n">
        <f aca="false">MAX(L41,MAX(1,ROUNDUP(M13/(cap_ligne*seuil_ligne),0)))</f>
        <v>1</v>
      </c>
      <c r="N41" s="45" t="n">
        <f aca="false">MAX(M41,MAX(1,ROUNDUP(N13/(cap_ligne*seuil_ligne),0)))</f>
        <v>1</v>
      </c>
      <c r="O41" s="45" t="n">
        <f aca="false">MAX(N41,MAX(1,ROUNDUP(O13/(cap_ligne*seuil_ligne),0)))</f>
        <v>1</v>
      </c>
      <c r="P41" s="45" t="n">
        <f aca="false">MAX(O41,MAX(1,ROUNDUP(P13/(cap_ligne*seuil_ligne),0)))</f>
        <v>1</v>
      </c>
      <c r="Q41" s="45" t="n">
        <f aca="false">MAX(P41,MAX(1,ROUNDUP(Q13/(cap_ligne*seuil_ligne),0)))</f>
        <v>1</v>
      </c>
      <c r="R41" s="45" t="n">
        <f aca="false">MAX(Q41,MAX(1,ROUNDUP(R13/(cap_ligne*seuil_ligne),0)))</f>
        <v>1</v>
      </c>
      <c r="S41" s="45" t="n">
        <f aca="false">MAX(R41,MAX(1,ROUNDUP(S13/(cap_ligne*seuil_ligne),0)))</f>
        <v>1</v>
      </c>
      <c r="T41" s="45" t="n">
        <f aca="false">MAX(S41,MAX(1,ROUNDUP(T13/(cap_ligne*seuil_ligne),0)))</f>
        <v>1</v>
      </c>
      <c r="U41" s="45" t="n">
        <f aca="false">MAX(T41,MAX(1,ROUNDUP(U13/(cap_ligne*seuil_ligne),0)))</f>
        <v>2</v>
      </c>
      <c r="V41" s="45" t="n">
        <f aca="false">MAX(U41,MAX(1,ROUNDUP(V13/(cap_ligne*seuil_ligne),0)))</f>
        <v>2</v>
      </c>
      <c r="W41" s="45" t="n">
        <f aca="false">MAX(V41,MAX(1,ROUNDUP(W13/(cap_ligne*seuil_ligne),0)))</f>
        <v>2</v>
      </c>
      <c r="X41" s="45" t="n">
        <f aca="false">MAX(W41,MAX(1,ROUNDUP(X13/(cap_ligne*seuil_ligne),0)))</f>
        <v>2</v>
      </c>
      <c r="Y41" s="45" t="n">
        <f aca="false">MAX(X41,MAX(1,ROUNDUP(Y13/(cap_ligne*seuil_ligne),0)))</f>
        <v>2</v>
      </c>
      <c r="Z41" s="45" t="n">
        <f aca="false">MAX(Y41,MAX(1,ROUNDUP(Z13/(cap_ligne*seuil_ligne),0)))</f>
        <v>2</v>
      </c>
      <c r="AA41" s="45" t="n">
        <f aca="false">MAX(Z41,MAX(1,ROUNDUP(AA13/(cap_ligne*seuil_ligne),0)))</f>
        <v>2</v>
      </c>
      <c r="AB41" s="45" t="n">
        <f aca="false">MAX(AA41,MAX(1,ROUNDUP(AB13/(cap_ligne*seuil_ligne),0)))</f>
        <v>2</v>
      </c>
      <c r="AC41" s="45" t="n">
        <f aca="false">MAX(AB41,MAX(1,ROUNDUP(AC13/(cap_ligne*seuil_ligne),0)))</f>
        <v>2</v>
      </c>
      <c r="AD41" s="45" t="n">
        <f aca="false">MAX(AC41,MAX(1,ROUNDUP(AD13/(cap_ligne*seuil_ligne),0)))</f>
        <v>2</v>
      </c>
      <c r="AE41" s="45" t="n">
        <f aca="false">MAX(AD41,MAX(1,ROUNDUP(AE13/(cap_ligne*seuil_ligne),0)))</f>
        <v>2</v>
      </c>
      <c r="AF41" s="45" t="n">
        <f aca="false">MAX(AE41,MAX(1,ROUNDUP(AF13/(cap_ligne*seuil_ligne),0)))</f>
        <v>3</v>
      </c>
      <c r="AG41" s="45" t="n">
        <f aca="false">MAX(AF41,MAX(1,ROUNDUP(AG13/(cap_ligne*seuil_ligne),0)))</f>
        <v>3</v>
      </c>
      <c r="AH41" s="45" t="n">
        <f aca="false">MAX(AG41,MAX(1,ROUNDUP(AH13/(cap_ligne*seuil_ligne),0)))</f>
        <v>3</v>
      </c>
      <c r="AI41" s="45" t="n">
        <f aca="false">MAX(AH41,MAX(1,ROUNDUP(AI13/(cap_ligne*seuil_ligne),0)))</f>
        <v>3</v>
      </c>
      <c r="AJ41" s="45" t="n">
        <f aca="false">MAX(AI41,MAX(1,ROUNDUP(AJ13/(cap_ligne*seuil_ligne),0)))</f>
        <v>3</v>
      </c>
      <c r="AK41" s="45" t="n">
        <f aca="false">MAX(AJ41,MAX(1,ROUNDUP(AK13/(cap_ligne*seuil_ligne),0)))</f>
        <v>3</v>
      </c>
      <c r="AL41" s="45" t="n">
        <f aca="false">MAX(AK41,MAX(1,ROUNDUP(AL13/(cap_ligne*seuil_ligne),0)))</f>
        <v>3</v>
      </c>
      <c r="AM41" s="45" t="n">
        <f aca="false">MAX(AL41,MAX(1,ROUNDUP(AM13/(cap_ligne*seuil_ligne),0)))</f>
        <v>3</v>
      </c>
      <c r="AO41" s="45" t="n">
        <f aca="false">INDEX($D41:$AM41,(AO$4-annee_debut)*12+12)</f>
        <v>1</v>
      </c>
      <c r="AP41" s="45" t="n">
        <f aca="false">INDEX($D41:$AM41,(AP$4-annee_debut)*12+12)</f>
        <v>2</v>
      </c>
      <c r="AQ41" s="45" t="n">
        <f aca="false">INDEX($D41:$AM41,(AQ$4-annee_debut)*12+12)</f>
        <v>3</v>
      </c>
    </row>
    <row r="42" customFormat="false" ht="15" hidden="false" customHeight="false" outlineLevel="0" collapsed="false">
      <c r="A42" s="10" t="s">
        <v>143</v>
      </c>
      <c r="B42" s="13" t="s">
        <v>71</v>
      </c>
      <c r="C42" s="50" t="n">
        <v>0</v>
      </c>
      <c r="D42" s="45" t="n">
        <f aca="false">loyer*D15</f>
        <v>4200</v>
      </c>
      <c r="E42" s="45" t="n">
        <f aca="false">loyer*E15</f>
        <v>4200</v>
      </c>
      <c r="F42" s="45" t="n">
        <f aca="false">loyer*F15</f>
        <v>4200</v>
      </c>
      <c r="G42" s="45" t="n">
        <f aca="false">loyer*G15</f>
        <v>4200</v>
      </c>
      <c r="H42" s="45" t="n">
        <f aca="false">loyer*H15</f>
        <v>4200</v>
      </c>
      <c r="I42" s="45" t="n">
        <f aca="false">loyer*I15</f>
        <v>4200</v>
      </c>
      <c r="J42" s="45" t="n">
        <f aca="false">loyer*J15</f>
        <v>4200</v>
      </c>
      <c r="K42" s="45" t="n">
        <f aca="false">loyer*K15</f>
        <v>4200</v>
      </c>
      <c r="L42" s="45" t="n">
        <f aca="false">loyer*L15</f>
        <v>4200</v>
      </c>
      <c r="M42" s="45" t="n">
        <f aca="false">loyer*M15</f>
        <v>4200</v>
      </c>
      <c r="N42" s="45" t="n">
        <f aca="false">loyer*N15</f>
        <v>4200</v>
      </c>
      <c r="O42" s="45" t="n">
        <f aca="false">loyer*O15</f>
        <v>4200</v>
      </c>
      <c r="P42" s="45" t="n">
        <f aca="false">loyer*P15</f>
        <v>4284</v>
      </c>
      <c r="Q42" s="45" t="n">
        <f aca="false">loyer*Q15</f>
        <v>4284</v>
      </c>
      <c r="R42" s="45" t="n">
        <f aca="false">loyer*R15</f>
        <v>4284</v>
      </c>
      <c r="S42" s="45" t="n">
        <f aca="false">loyer*S15</f>
        <v>4284</v>
      </c>
      <c r="T42" s="45" t="n">
        <f aca="false">loyer*T15</f>
        <v>4284</v>
      </c>
      <c r="U42" s="45" t="n">
        <f aca="false">loyer*U15</f>
        <v>4284</v>
      </c>
      <c r="V42" s="45" t="n">
        <f aca="false">loyer*V15</f>
        <v>4284</v>
      </c>
      <c r="W42" s="45" t="n">
        <f aca="false">loyer*W15</f>
        <v>4284</v>
      </c>
      <c r="X42" s="45" t="n">
        <f aca="false">loyer*X15</f>
        <v>4284</v>
      </c>
      <c r="Y42" s="45" t="n">
        <f aca="false">loyer*Y15</f>
        <v>4284</v>
      </c>
      <c r="Z42" s="45" t="n">
        <f aca="false">loyer*Z15</f>
        <v>4284</v>
      </c>
      <c r="AA42" s="45" t="n">
        <f aca="false">loyer*AA15</f>
        <v>4284</v>
      </c>
      <c r="AB42" s="45" t="n">
        <f aca="false">loyer*AB15</f>
        <v>4369.68</v>
      </c>
      <c r="AC42" s="45" t="n">
        <f aca="false">loyer*AC15</f>
        <v>4369.68</v>
      </c>
      <c r="AD42" s="45" t="n">
        <f aca="false">loyer*AD15</f>
        <v>4369.68</v>
      </c>
      <c r="AE42" s="45" t="n">
        <f aca="false">loyer*AE15</f>
        <v>4369.68</v>
      </c>
      <c r="AF42" s="45" t="n">
        <f aca="false">loyer*AF15</f>
        <v>4369.68</v>
      </c>
      <c r="AG42" s="45" t="n">
        <f aca="false">loyer*AG15</f>
        <v>4369.68</v>
      </c>
      <c r="AH42" s="45" t="n">
        <f aca="false">loyer*AH15</f>
        <v>4369.68</v>
      </c>
      <c r="AI42" s="45" t="n">
        <f aca="false">loyer*AI15</f>
        <v>4369.68</v>
      </c>
      <c r="AJ42" s="45" t="n">
        <f aca="false">loyer*AJ15</f>
        <v>4369.68</v>
      </c>
      <c r="AK42" s="45" t="n">
        <f aca="false">loyer*AK15</f>
        <v>4369.68</v>
      </c>
      <c r="AL42" s="45" t="n">
        <f aca="false">loyer*AL15</f>
        <v>4369.68</v>
      </c>
      <c r="AM42" s="45" t="n">
        <f aca="false">loyer*AM15</f>
        <v>4369.68</v>
      </c>
      <c r="AO42" s="45" t="n">
        <f aca="false">SUMIF($D$4:$AM$4,AO$4,$D42:$AM42)</f>
        <v>50400</v>
      </c>
      <c r="AP42" s="45" t="n">
        <f aca="false">SUMIF($D$4:$AM$4,AP$4,$D42:$AM42)</f>
        <v>51408</v>
      </c>
      <c r="AQ42" s="45" t="n">
        <f aca="false">SUMIF($D$4:$AM$4,AQ$4,$D42:$AM42)</f>
        <v>52436.16</v>
      </c>
    </row>
    <row r="43" customFormat="false" ht="15" hidden="false" customHeight="false" outlineLevel="0" collapsed="false">
      <c r="A43" s="10" t="s">
        <v>408</v>
      </c>
      <c r="B43" s="13" t="s">
        <v>71</v>
      </c>
      <c r="C43" s="50" t="n">
        <v>0</v>
      </c>
      <c r="D43" s="45" t="n">
        <f aca="false">D41*energie_ligne*D15</f>
        <v>600</v>
      </c>
      <c r="E43" s="45" t="n">
        <f aca="false">E41*energie_ligne*E15</f>
        <v>600</v>
      </c>
      <c r="F43" s="45" t="n">
        <f aca="false">F41*energie_ligne*F15</f>
        <v>600</v>
      </c>
      <c r="G43" s="45" t="n">
        <f aca="false">G41*energie_ligne*G15</f>
        <v>600</v>
      </c>
      <c r="H43" s="45" t="n">
        <f aca="false">H41*energie_ligne*H15</f>
        <v>600</v>
      </c>
      <c r="I43" s="45" t="n">
        <f aca="false">I41*energie_ligne*I15</f>
        <v>600</v>
      </c>
      <c r="J43" s="45" t="n">
        <f aca="false">J41*energie_ligne*J15</f>
        <v>600</v>
      </c>
      <c r="K43" s="45" t="n">
        <f aca="false">K41*energie_ligne*K15</f>
        <v>600</v>
      </c>
      <c r="L43" s="45" t="n">
        <f aca="false">L41*energie_ligne*L15</f>
        <v>600</v>
      </c>
      <c r="M43" s="45" t="n">
        <f aca="false">M41*energie_ligne*M15</f>
        <v>600</v>
      </c>
      <c r="N43" s="45" t="n">
        <f aca="false">N41*energie_ligne*N15</f>
        <v>600</v>
      </c>
      <c r="O43" s="45" t="n">
        <f aca="false">O41*energie_ligne*O15</f>
        <v>600</v>
      </c>
      <c r="P43" s="45" t="n">
        <f aca="false">P41*energie_ligne*P15</f>
        <v>612</v>
      </c>
      <c r="Q43" s="45" t="n">
        <f aca="false">Q41*energie_ligne*Q15</f>
        <v>612</v>
      </c>
      <c r="R43" s="45" t="n">
        <f aca="false">R41*energie_ligne*R15</f>
        <v>612</v>
      </c>
      <c r="S43" s="45" t="n">
        <f aca="false">S41*energie_ligne*S15</f>
        <v>612</v>
      </c>
      <c r="T43" s="45" t="n">
        <f aca="false">T41*energie_ligne*T15</f>
        <v>612</v>
      </c>
      <c r="U43" s="45" t="n">
        <f aca="false">U41*energie_ligne*U15</f>
        <v>1224</v>
      </c>
      <c r="V43" s="45" t="n">
        <f aca="false">V41*energie_ligne*V15</f>
        <v>1224</v>
      </c>
      <c r="W43" s="45" t="n">
        <f aca="false">W41*energie_ligne*W15</f>
        <v>1224</v>
      </c>
      <c r="X43" s="45" t="n">
        <f aca="false">X41*energie_ligne*X15</f>
        <v>1224</v>
      </c>
      <c r="Y43" s="45" t="n">
        <f aca="false">Y41*energie_ligne*Y15</f>
        <v>1224</v>
      </c>
      <c r="Z43" s="45" t="n">
        <f aca="false">Z41*energie_ligne*Z15</f>
        <v>1224</v>
      </c>
      <c r="AA43" s="45" t="n">
        <f aca="false">AA41*energie_ligne*AA15</f>
        <v>1224</v>
      </c>
      <c r="AB43" s="45" t="n">
        <f aca="false">AB41*energie_ligne*AB15</f>
        <v>1248.48</v>
      </c>
      <c r="AC43" s="45" t="n">
        <f aca="false">AC41*energie_ligne*AC15</f>
        <v>1248.48</v>
      </c>
      <c r="AD43" s="45" t="n">
        <f aca="false">AD41*energie_ligne*AD15</f>
        <v>1248.48</v>
      </c>
      <c r="AE43" s="45" t="n">
        <f aca="false">AE41*energie_ligne*AE15</f>
        <v>1248.48</v>
      </c>
      <c r="AF43" s="45" t="n">
        <f aca="false">AF41*energie_ligne*AF15</f>
        <v>1872.72</v>
      </c>
      <c r="AG43" s="45" t="n">
        <f aca="false">AG41*energie_ligne*AG15</f>
        <v>1872.72</v>
      </c>
      <c r="AH43" s="45" t="n">
        <f aca="false">AH41*energie_ligne*AH15</f>
        <v>1872.72</v>
      </c>
      <c r="AI43" s="45" t="n">
        <f aca="false">AI41*energie_ligne*AI15</f>
        <v>1872.72</v>
      </c>
      <c r="AJ43" s="45" t="n">
        <f aca="false">AJ41*energie_ligne*AJ15</f>
        <v>1872.72</v>
      </c>
      <c r="AK43" s="45" t="n">
        <f aca="false">AK41*energie_ligne*AK15</f>
        <v>1872.72</v>
      </c>
      <c r="AL43" s="45" t="n">
        <f aca="false">AL41*energie_ligne*AL15</f>
        <v>1872.72</v>
      </c>
      <c r="AM43" s="45" t="n">
        <f aca="false">AM41*energie_ligne*AM15</f>
        <v>1872.72</v>
      </c>
      <c r="AO43" s="45" t="n">
        <f aca="false">SUMIF($D$4:$AM$4,AO$4,$D43:$AM43)</f>
        <v>7200</v>
      </c>
      <c r="AP43" s="45" t="n">
        <f aca="false">SUMIF($D$4:$AM$4,AP$4,$D43:$AM43)</f>
        <v>11628</v>
      </c>
      <c r="AQ43" s="45" t="n">
        <f aca="false">SUMIF($D$4:$AM$4,AQ$4,$D43:$AM43)</f>
        <v>19975.68</v>
      </c>
    </row>
    <row r="44" customFormat="false" ht="15" hidden="false" customHeight="false" outlineLevel="0" collapsed="false">
      <c r="A44" s="10" t="s">
        <v>409</v>
      </c>
      <c r="B44" s="13" t="s">
        <v>71</v>
      </c>
      <c r="C44" s="50" t="n">
        <v>0</v>
      </c>
      <c r="D44" s="45" t="n">
        <f aca="false">D29*vehicule*D15</f>
        <v>750</v>
      </c>
      <c r="E44" s="45" t="n">
        <f aca="false">E29*vehicule*E15</f>
        <v>750</v>
      </c>
      <c r="F44" s="45" t="n">
        <f aca="false">F29*vehicule*F15</f>
        <v>750</v>
      </c>
      <c r="G44" s="45" t="n">
        <f aca="false">G29*vehicule*G15</f>
        <v>750</v>
      </c>
      <c r="H44" s="45" t="n">
        <f aca="false">H29*vehicule*H15</f>
        <v>750</v>
      </c>
      <c r="I44" s="45" t="n">
        <f aca="false">I29*vehicule*I15</f>
        <v>750</v>
      </c>
      <c r="J44" s="45" t="n">
        <f aca="false">J29*vehicule*J15</f>
        <v>750</v>
      </c>
      <c r="K44" s="45" t="n">
        <f aca="false">K29*vehicule*K15</f>
        <v>750</v>
      </c>
      <c r="L44" s="45" t="n">
        <f aca="false">L29*vehicule*L15</f>
        <v>750</v>
      </c>
      <c r="M44" s="45" t="n">
        <f aca="false">M29*vehicule*M15</f>
        <v>1500</v>
      </c>
      <c r="N44" s="45" t="n">
        <f aca="false">N29*vehicule*N15</f>
        <v>1500</v>
      </c>
      <c r="O44" s="45" t="n">
        <f aca="false">O29*vehicule*O15</f>
        <v>1500</v>
      </c>
      <c r="P44" s="45" t="n">
        <f aca="false">P29*vehicule*P15</f>
        <v>1530</v>
      </c>
      <c r="Q44" s="45" t="n">
        <f aca="false">Q29*vehicule*Q15</f>
        <v>1530</v>
      </c>
      <c r="R44" s="45" t="n">
        <f aca="false">R29*vehicule*R15</f>
        <v>1530</v>
      </c>
      <c r="S44" s="45" t="n">
        <f aca="false">S29*vehicule*S15</f>
        <v>2295</v>
      </c>
      <c r="T44" s="45" t="n">
        <f aca="false">T29*vehicule*T15</f>
        <v>2295</v>
      </c>
      <c r="U44" s="45" t="n">
        <f aca="false">U29*vehicule*U15</f>
        <v>2295</v>
      </c>
      <c r="V44" s="45" t="n">
        <f aca="false">V29*vehicule*V15</f>
        <v>2295</v>
      </c>
      <c r="W44" s="45" t="n">
        <f aca="false">W29*vehicule*W15</f>
        <v>2295</v>
      </c>
      <c r="X44" s="45" t="n">
        <f aca="false">X29*vehicule*X15</f>
        <v>3060</v>
      </c>
      <c r="Y44" s="45" t="n">
        <f aca="false">Y29*vehicule*Y15</f>
        <v>3060</v>
      </c>
      <c r="Z44" s="45" t="n">
        <f aca="false">Z29*vehicule*Z15</f>
        <v>3060</v>
      </c>
      <c r="AA44" s="45" t="n">
        <f aca="false">AA29*vehicule*AA15</f>
        <v>3060</v>
      </c>
      <c r="AB44" s="45" t="n">
        <f aca="false">AB29*vehicule*AB15</f>
        <v>3121.2</v>
      </c>
      <c r="AC44" s="45" t="n">
        <f aca="false">AC29*vehicule*AC15</f>
        <v>3121.2</v>
      </c>
      <c r="AD44" s="45" t="n">
        <f aca="false">AD29*vehicule*AD15</f>
        <v>3901.5</v>
      </c>
      <c r="AE44" s="45" t="n">
        <f aca="false">AE29*vehicule*AE15</f>
        <v>3901.5</v>
      </c>
      <c r="AF44" s="45" t="n">
        <f aca="false">AF29*vehicule*AF15</f>
        <v>4681.8</v>
      </c>
      <c r="AG44" s="45" t="n">
        <f aca="false">AG29*vehicule*AG15</f>
        <v>4681.8</v>
      </c>
      <c r="AH44" s="45" t="n">
        <f aca="false">AH29*vehicule*AH15</f>
        <v>4681.8</v>
      </c>
      <c r="AI44" s="45" t="n">
        <f aca="false">AI29*vehicule*AI15</f>
        <v>3901.5</v>
      </c>
      <c r="AJ44" s="45" t="n">
        <f aca="false">AJ29*vehicule*AJ15</f>
        <v>5462.1</v>
      </c>
      <c r="AK44" s="45" t="n">
        <f aca="false">AK29*vehicule*AK15</f>
        <v>5462.1</v>
      </c>
      <c r="AL44" s="45" t="n">
        <f aca="false">AL29*vehicule*AL15</f>
        <v>5462.1</v>
      </c>
      <c r="AM44" s="45" t="n">
        <f aca="false">AM29*vehicule*AM15</f>
        <v>5462.1</v>
      </c>
      <c r="AO44" s="45" t="n">
        <f aca="false">SUMIF($D$4:$AM$4,AO$4,$D44:$AM44)</f>
        <v>11250</v>
      </c>
      <c r="AP44" s="45" t="n">
        <f aca="false">SUMIF($D$4:$AM$4,AP$4,$D44:$AM44)</f>
        <v>28305</v>
      </c>
      <c r="AQ44" s="45" t="n">
        <f aca="false">SUMIF($D$4:$AM$4,AQ$4,$D44:$AM44)</f>
        <v>53840.7</v>
      </c>
    </row>
    <row r="45" customFormat="false" ht="15" hidden="false" customHeight="false" outlineLevel="0" collapsed="false">
      <c r="A45" s="10" t="s">
        <v>410</v>
      </c>
      <c r="B45" s="13" t="s">
        <v>71</v>
      </c>
      <c r="C45" s="50" t="n">
        <v>0</v>
      </c>
      <c r="D45" s="45" t="n">
        <f aca="false">(assurances+logiciels+honoraires)*D15</f>
        <v>2000</v>
      </c>
      <c r="E45" s="45" t="n">
        <f aca="false">(assurances+logiciels+honoraires)*E15</f>
        <v>2000</v>
      </c>
      <c r="F45" s="45" t="n">
        <f aca="false">(assurances+logiciels+honoraires)*F15</f>
        <v>2000</v>
      </c>
      <c r="G45" s="45" t="n">
        <f aca="false">(assurances+logiciels+honoraires)*G15</f>
        <v>2000</v>
      </c>
      <c r="H45" s="45" t="n">
        <f aca="false">(assurances+logiciels+honoraires)*H15</f>
        <v>2000</v>
      </c>
      <c r="I45" s="45" t="n">
        <f aca="false">(assurances+logiciels+honoraires)*I15</f>
        <v>2000</v>
      </c>
      <c r="J45" s="45" t="n">
        <f aca="false">(assurances+logiciels+honoraires)*J15</f>
        <v>2000</v>
      </c>
      <c r="K45" s="45" t="n">
        <f aca="false">(assurances+logiciels+honoraires)*K15</f>
        <v>2000</v>
      </c>
      <c r="L45" s="45" t="n">
        <f aca="false">(assurances+logiciels+honoraires)*L15</f>
        <v>2000</v>
      </c>
      <c r="M45" s="45" t="n">
        <f aca="false">(assurances+logiciels+honoraires)*M15</f>
        <v>2000</v>
      </c>
      <c r="N45" s="45" t="n">
        <f aca="false">(assurances+logiciels+honoraires)*N15</f>
        <v>2000</v>
      </c>
      <c r="O45" s="45" t="n">
        <f aca="false">(assurances+logiciels+honoraires)*O15</f>
        <v>2000</v>
      </c>
      <c r="P45" s="45" t="n">
        <f aca="false">(assurances+logiciels+honoraires)*P15</f>
        <v>2040</v>
      </c>
      <c r="Q45" s="45" t="n">
        <f aca="false">(assurances+logiciels+honoraires)*Q15</f>
        <v>2040</v>
      </c>
      <c r="R45" s="45" t="n">
        <f aca="false">(assurances+logiciels+honoraires)*R15</f>
        <v>2040</v>
      </c>
      <c r="S45" s="45" t="n">
        <f aca="false">(assurances+logiciels+honoraires)*S15</f>
        <v>2040</v>
      </c>
      <c r="T45" s="45" t="n">
        <f aca="false">(assurances+logiciels+honoraires)*T15</f>
        <v>2040</v>
      </c>
      <c r="U45" s="45" t="n">
        <f aca="false">(assurances+logiciels+honoraires)*U15</f>
        <v>2040</v>
      </c>
      <c r="V45" s="45" t="n">
        <f aca="false">(assurances+logiciels+honoraires)*V15</f>
        <v>2040</v>
      </c>
      <c r="W45" s="45" t="n">
        <f aca="false">(assurances+logiciels+honoraires)*W15</f>
        <v>2040</v>
      </c>
      <c r="X45" s="45" t="n">
        <f aca="false">(assurances+logiciels+honoraires)*X15</f>
        <v>2040</v>
      </c>
      <c r="Y45" s="45" t="n">
        <f aca="false">(assurances+logiciels+honoraires)*Y15</f>
        <v>2040</v>
      </c>
      <c r="Z45" s="45" t="n">
        <f aca="false">(assurances+logiciels+honoraires)*Z15</f>
        <v>2040</v>
      </c>
      <c r="AA45" s="45" t="n">
        <f aca="false">(assurances+logiciels+honoraires)*AA15</f>
        <v>2040</v>
      </c>
      <c r="AB45" s="45" t="n">
        <f aca="false">(assurances+logiciels+honoraires)*AB15</f>
        <v>2080.8</v>
      </c>
      <c r="AC45" s="45" t="n">
        <f aca="false">(assurances+logiciels+honoraires)*AC15</f>
        <v>2080.8</v>
      </c>
      <c r="AD45" s="45" t="n">
        <f aca="false">(assurances+logiciels+honoraires)*AD15</f>
        <v>2080.8</v>
      </c>
      <c r="AE45" s="45" t="n">
        <f aca="false">(assurances+logiciels+honoraires)*AE15</f>
        <v>2080.8</v>
      </c>
      <c r="AF45" s="45" t="n">
        <f aca="false">(assurances+logiciels+honoraires)*AF15</f>
        <v>2080.8</v>
      </c>
      <c r="AG45" s="45" t="n">
        <f aca="false">(assurances+logiciels+honoraires)*AG15</f>
        <v>2080.8</v>
      </c>
      <c r="AH45" s="45" t="n">
        <f aca="false">(assurances+logiciels+honoraires)*AH15</f>
        <v>2080.8</v>
      </c>
      <c r="AI45" s="45" t="n">
        <f aca="false">(assurances+logiciels+honoraires)*AI15</f>
        <v>2080.8</v>
      </c>
      <c r="AJ45" s="45" t="n">
        <f aca="false">(assurances+logiciels+honoraires)*AJ15</f>
        <v>2080.8</v>
      </c>
      <c r="AK45" s="45" t="n">
        <f aca="false">(assurances+logiciels+honoraires)*AK15</f>
        <v>2080.8</v>
      </c>
      <c r="AL45" s="45" t="n">
        <f aca="false">(assurances+logiciels+honoraires)*AL15</f>
        <v>2080.8</v>
      </c>
      <c r="AM45" s="45" t="n">
        <f aca="false">(assurances+logiciels+honoraires)*AM15</f>
        <v>2080.8</v>
      </c>
      <c r="AO45" s="45" t="n">
        <f aca="false">SUMIF($D$4:$AM$4,AO$4,$D45:$AM45)</f>
        <v>24000</v>
      </c>
      <c r="AP45" s="45" t="n">
        <f aca="false">SUMIF($D$4:$AM$4,AP$4,$D45:$AM45)</f>
        <v>24480</v>
      </c>
      <c r="AQ45" s="45" t="n">
        <f aca="false">SUMIF($D$4:$AM$4,AQ$4,$D45:$AM45)</f>
        <v>24969.6</v>
      </c>
    </row>
    <row r="46" customFormat="false" ht="15" hidden="false" customHeight="false" outlineLevel="0" collapsed="false">
      <c r="A46" s="10" t="s">
        <v>411</v>
      </c>
      <c r="B46" s="13" t="s">
        <v>71</v>
      </c>
      <c r="C46" s="50" t="n">
        <v>0</v>
      </c>
      <c r="D46" s="45" t="n">
        <f aca="false">CHOOSE(D$4-annee_debut+1,marketing_a1,marketing_a2,marketing_a3)*D15</f>
        <v>1500</v>
      </c>
      <c r="E46" s="45" t="n">
        <f aca="false">CHOOSE(E$4-annee_debut+1,marketing_a1,marketing_a2,marketing_a3)*E15</f>
        <v>1500</v>
      </c>
      <c r="F46" s="45" t="n">
        <f aca="false">CHOOSE(F$4-annee_debut+1,marketing_a1,marketing_a2,marketing_a3)*F15</f>
        <v>1500</v>
      </c>
      <c r="G46" s="45" t="n">
        <f aca="false">CHOOSE(G$4-annee_debut+1,marketing_a1,marketing_a2,marketing_a3)*G15</f>
        <v>1500</v>
      </c>
      <c r="H46" s="45" t="n">
        <f aca="false">CHOOSE(H$4-annee_debut+1,marketing_a1,marketing_a2,marketing_a3)*H15</f>
        <v>1500</v>
      </c>
      <c r="I46" s="45" t="n">
        <f aca="false">CHOOSE(I$4-annee_debut+1,marketing_a1,marketing_a2,marketing_a3)*I15</f>
        <v>1500</v>
      </c>
      <c r="J46" s="45" t="n">
        <f aca="false">CHOOSE(J$4-annee_debut+1,marketing_a1,marketing_a2,marketing_a3)*J15</f>
        <v>1500</v>
      </c>
      <c r="K46" s="45" t="n">
        <f aca="false">CHOOSE(K$4-annee_debut+1,marketing_a1,marketing_a2,marketing_a3)*K15</f>
        <v>1500</v>
      </c>
      <c r="L46" s="45" t="n">
        <f aca="false">CHOOSE(L$4-annee_debut+1,marketing_a1,marketing_a2,marketing_a3)*L15</f>
        <v>1500</v>
      </c>
      <c r="M46" s="45" t="n">
        <f aca="false">CHOOSE(M$4-annee_debut+1,marketing_a1,marketing_a2,marketing_a3)*M15</f>
        <v>1500</v>
      </c>
      <c r="N46" s="45" t="n">
        <f aca="false">CHOOSE(N$4-annee_debut+1,marketing_a1,marketing_a2,marketing_a3)*N15</f>
        <v>1500</v>
      </c>
      <c r="O46" s="45" t="n">
        <f aca="false">CHOOSE(O$4-annee_debut+1,marketing_a1,marketing_a2,marketing_a3)*O15</f>
        <v>1500</v>
      </c>
      <c r="P46" s="45" t="n">
        <f aca="false">CHOOSE(P$4-annee_debut+1,marketing_a1,marketing_a2,marketing_a3)*P15</f>
        <v>2040</v>
      </c>
      <c r="Q46" s="45" t="n">
        <f aca="false">CHOOSE(Q$4-annee_debut+1,marketing_a1,marketing_a2,marketing_a3)*Q15</f>
        <v>2040</v>
      </c>
      <c r="R46" s="45" t="n">
        <f aca="false">CHOOSE(R$4-annee_debut+1,marketing_a1,marketing_a2,marketing_a3)*R15</f>
        <v>2040</v>
      </c>
      <c r="S46" s="45" t="n">
        <f aca="false">CHOOSE(S$4-annee_debut+1,marketing_a1,marketing_a2,marketing_a3)*S15</f>
        <v>2040</v>
      </c>
      <c r="T46" s="45" t="n">
        <f aca="false">CHOOSE(T$4-annee_debut+1,marketing_a1,marketing_a2,marketing_a3)*T15</f>
        <v>2040</v>
      </c>
      <c r="U46" s="45" t="n">
        <f aca="false">CHOOSE(U$4-annee_debut+1,marketing_a1,marketing_a2,marketing_a3)*U15</f>
        <v>2040</v>
      </c>
      <c r="V46" s="45" t="n">
        <f aca="false">CHOOSE(V$4-annee_debut+1,marketing_a1,marketing_a2,marketing_a3)*V15</f>
        <v>2040</v>
      </c>
      <c r="W46" s="45" t="n">
        <f aca="false">CHOOSE(W$4-annee_debut+1,marketing_a1,marketing_a2,marketing_a3)*W15</f>
        <v>2040</v>
      </c>
      <c r="X46" s="45" t="n">
        <f aca="false">CHOOSE(X$4-annee_debut+1,marketing_a1,marketing_a2,marketing_a3)*X15</f>
        <v>2040</v>
      </c>
      <c r="Y46" s="45" t="n">
        <f aca="false">CHOOSE(Y$4-annee_debut+1,marketing_a1,marketing_a2,marketing_a3)*Y15</f>
        <v>2040</v>
      </c>
      <c r="Z46" s="45" t="n">
        <f aca="false">CHOOSE(Z$4-annee_debut+1,marketing_a1,marketing_a2,marketing_a3)*Z15</f>
        <v>2040</v>
      </c>
      <c r="AA46" s="45" t="n">
        <f aca="false">CHOOSE(AA$4-annee_debut+1,marketing_a1,marketing_a2,marketing_a3)*AA15</f>
        <v>2040</v>
      </c>
      <c r="AB46" s="45" t="n">
        <f aca="false">CHOOSE(AB$4-annee_debut+1,marketing_a1,marketing_a2,marketing_a3)*AB15</f>
        <v>2601</v>
      </c>
      <c r="AC46" s="45" t="n">
        <f aca="false">CHOOSE(AC$4-annee_debut+1,marketing_a1,marketing_a2,marketing_a3)*AC15</f>
        <v>2601</v>
      </c>
      <c r="AD46" s="45" t="n">
        <f aca="false">CHOOSE(AD$4-annee_debut+1,marketing_a1,marketing_a2,marketing_a3)*AD15</f>
        <v>2601</v>
      </c>
      <c r="AE46" s="45" t="n">
        <f aca="false">CHOOSE(AE$4-annee_debut+1,marketing_a1,marketing_a2,marketing_a3)*AE15</f>
        <v>2601</v>
      </c>
      <c r="AF46" s="45" t="n">
        <f aca="false">CHOOSE(AF$4-annee_debut+1,marketing_a1,marketing_a2,marketing_a3)*AF15</f>
        <v>2601</v>
      </c>
      <c r="AG46" s="45" t="n">
        <f aca="false">CHOOSE(AG$4-annee_debut+1,marketing_a1,marketing_a2,marketing_a3)*AG15</f>
        <v>2601</v>
      </c>
      <c r="AH46" s="45" t="n">
        <f aca="false">CHOOSE(AH$4-annee_debut+1,marketing_a1,marketing_a2,marketing_a3)*AH15</f>
        <v>2601</v>
      </c>
      <c r="AI46" s="45" t="n">
        <f aca="false">CHOOSE(AI$4-annee_debut+1,marketing_a1,marketing_a2,marketing_a3)*AI15</f>
        <v>2601</v>
      </c>
      <c r="AJ46" s="45" t="n">
        <f aca="false">CHOOSE(AJ$4-annee_debut+1,marketing_a1,marketing_a2,marketing_a3)*AJ15</f>
        <v>2601</v>
      </c>
      <c r="AK46" s="45" t="n">
        <f aca="false">CHOOSE(AK$4-annee_debut+1,marketing_a1,marketing_a2,marketing_a3)*AK15</f>
        <v>2601</v>
      </c>
      <c r="AL46" s="45" t="n">
        <f aca="false">CHOOSE(AL$4-annee_debut+1,marketing_a1,marketing_a2,marketing_a3)*AL15</f>
        <v>2601</v>
      </c>
      <c r="AM46" s="45" t="n">
        <f aca="false">CHOOSE(AM$4-annee_debut+1,marketing_a1,marketing_a2,marketing_a3)*AM15</f>
        <v>2601</v>
      </c>
      <c r="AO46" s="45" t="n">
        <f aca="false">SUMIF($D$4:$AM$4,AO$4,$D46:$AM46)</f>
        <v>18000</v>
      </c>
      <c r="AP46" s="45" t="n">
        <f aca="false">SUMIF($D$4:$AM$4,AP$4,$D46:$AM46)</f>
        <v>24480</v>
      </c>
      <c r="AQ46" s="45" t="n">
        <f aca="false">SUMIF($D$4:$AM$4,AQ$4,$D46:$AM46)</f>
        <v>31212</v>
      </c>
    </row>
    <row r="47" customFormat="false" ht="15" hidden="false" customHeight="false" outlineLevel="0" collapsed="false">
      <c r="A47" s="11" t="s">
        <v>412</v>
      </c>
      <c r="B47" s="13" t="s">
        <v>71</v>
      </c>
      <c r="C47" s="50" t="n">
        <v>0</v>
      </c>
      <c r="D47" s="44" t="n">
        <f aca="false">SUM(D42:D46)</f>
        <v>9050</v>
      </c>
      <c r="E47" s="44" t="n">
        <f aca="false">SUM(E42:E46)</f>
        <v>9050</v>
      </c>
      <c r="F47" s="44" t="n">
        <f aca="false">SUM(F42:F46)</f>
        <v>9050</v>
      </c>
      <c r="G47" s="44" t="n">
        <f aca="false">SUM(G42:G46)</f>
        <v>9050</v>
      </c>
      <c r="H47" s="44" t="n">
        <f aca="false">SUM(H42:H46)</f>
        <v>9050</v>
      </c>
      <c r="I47" s="44" t="n">
        <f aca="false">SUM(I42:I46)</f>
        <v>9050</v>
      </c>
      <c r="J47" s="44" t="n">
        <f aca="false">SUM(J42:J46)</f>
        <v>9050</v>
      </c>
      <c r="K47" s="44" t="n">
        <f aca="false">SUM(K42:K46)</f>
        <v>9050</v>
      </c>
      <c r="L47" s="44" t="n">
        <f aca="false">SUM(L42:L46)</f>
        <v>9050</v>
      </c>
      <c r="M47" s="44" t="n">
        <f aca="false">SUM(M42:M46)</f>
        <v>9800</v>
      </c>
      <c r="N47" s="44" t="n">
        <f aca="false">SUM(N42:N46)</f>
        <v>9800</v>
      </c>
      <c r="O47" s="44" t="n">
        <f aca="false">SUM(O42:O46)</f>
        <v>9800</v>
      </c>
      <c r="P47" s="44" t="n">
        <f aca="false">SUM(P42:P46)</f>
        <v>10506</v>
      </c>
      <c r="Q47" s="44" t="n">
        <f aca="false">SUM(Q42:Q46)</f>
        <v>10506</v>
      </c>
      <c r="R47" s="44" t="n">
        <f aca="false">SUM(R42:R46)</f>
        <v>10506</v>
      </c>
      <c r="S47" s="44" t="n">
        <f aca="false">SUM(S42:S46)</f>
        <v>11271</v>
      </c>
      <c r="T47" s="44" t="n">
        <f aca="false">SUM(T42:T46)</f>
        <v>11271</v>
      </c>
      <c r="U47" s="44" t="n">
        <f aca="false">SUM(U42:U46)</f>
        <v>11883</v>
      </c>
      <c r="V47" s="44" t="n">
        <f aca="false">SUM(V42:V46)</f>
        <v>11883</v>
      </c>
      <c r="W47" s="44" t="n">
        <f aca="false">SUM(W42:W46)</f>
        <v>11883</v>
      </c>
      <c r="X47" s="44" t="n">
        <f aca="false">SUM(X42:X46)</f>
        <v>12648</v>
      </c>
      <c r="Y47" s="44" t="n">
        <f aca="false">SUM(Y42:Y46)</f>
        <v>12648</v>
      </c>
      <c r="Z47" s="44" t="n">
        <f aca="false">SUM(Z42:Z46)</f>
        <v>12648</v>
      </c>
      <c r="AA47" s="44" t="n">
        <f aca="false">SUM(AA42:AA46)</f>
        <v>12648</v>
      </c>
      <c r="AB47" s="44" t="n">
        <f aca="false">SUM(AB42:AB46)</f>
        <v>13421.16</v>
      </c>
      <c r="AC47" s="44" t="n">
        <f aca="false">SUM(AC42:AC46)</f>
        <v>13421.16</v>
      </c>
      <c r="AD47" s="44" t="n">
        <f aca="false">SUM(AD42:AD46)</f>
        <v>14201.46</v>
      </c>
      <c r="AE47" s="44" t="n">
        <f aca="false">SUM(AE42:AE46)</f>
        <v>14201.46</v>
      </c>
      <c r="AF47" s="44" t="n">
        <f aca="false">SUM(AF42:AF46)</f>
        <v>15606</v>
      </c>
      <c r="AG47" s="44" t="n">
        <f aca="false">SUM(AG42:AG46)</f>
        <v>15606</v>
      </c>
      <c r="AH47" s="44" t="n">
        <f aca="false">SUM(AH42:AH46)</f>
        <v>15606</v>
      </c>
      <c r="AI47" s="44" t="n">
        <f aca="false">SUM(AI42:AI46)</f>
        <v>14825.7</v>
      </c>
      <c r="AJ47" s="44" t="n">
        <f aca="false">SUM(AJ42:AJ46)</f>
        <v>16386.3</v>
      </c>
      <c r="AK47" s="44" t="n">
        <f aca="false">SUM(AK42:AK46)</f>
        <v>16386.3</v>
      </c>
      <c r="AL47" s="44" t="n">
        <f aca="false">SUM(AL42:AL46)</f>
        <v>16386.3</v>
      </c>
      <c r="AM47" s="44" t="n">
        <f aca="false">SUM(AM42:AM46)</f>
        <v>16386.3</v>
      </c>
      <c r="AO47" s="44" t="n">
        <f aca="false">SUMIF($D$4:$AM$4,AO$4,$D47:$AM47)</f>
        <v>110850</v>
      </c>
      <c r="AP47" s="44" t="n">
        <f aca="false">SUMIF($D$4:$AM$4,AP$4,$D47:$AM47)</f>
        <v>140301</v>
      </c>
      <c r="AQ47" s="44" t="n">
        <f aca="false">SUMIF($D$4:$AM$4,AQ$4,$D47:$AM47)</f>
        <v>182434.14</v>
      </c>
    </row>
    <row r="48" customFormat="false" ht="15" hidden="false" customHeight="false" outlineLevel="0" collapsed="false">
      <c r="A48" s="11" t="s">
        <v>226</v>
      </c>
      <c r="B48" s="13" t="s">
        <v>161</v>
      </c>
      <c r="C48" s="50" t="n">
        <v>0</v>
      </c>
      <c r="D48" s="44" t="n">
        <f aca="false">D25-D39-D47</f>
        <v>-18932.0243333333</v>
      </c>
      <c r="E48" s="44" t="n">
        <f aca="false">E25-E39-E47</f>
        <v>-17037.0168053333</v>
      </c>
      <c r="F48" s="44" t="n">
        <f aca="false">F25-F39-F47</f>
        <v>-14939.0166792533</v>
      </c>
      <c r="G48" s="44" t="n">
        <f aca="false">G25-G39-G47</f>
        <v>-17699.7727710043</v>
      </c>
      <c r="H48" s="44" t="n">
        <f aca="false">H25-H39-H47</f>
        <v>-15496.5685612448</v>
      </c>
      <c r="I48" s="44" t="n">
        <f aca="false">I25-I39-I47</f>
        <v>-13207.4737496508</v>
      </c>
      <c r="J48" s="44" t="n">
        <f aca="false">J25-J39-J47</f>
        <v>-11503.6021406528</v>
      </c>
      <c r="K48" s="44" t="n">
        <f aca="false">K25-K39-K47</f>
        <v>-12739.5710508987</v>
      </c>
      <c r="L48" s="44" t="n">
        <f aca="false">L25-L39-L47</f>
        <v>-7574.26763293937</v>
      </c>
      <c r="M48" s="44" t="n">
        <f aca="false">M25-M39-M47</f>
        <v>-9705.71302020299</v>
      </c>
      <c r="N48" s="44" t="n">
        <f aca="false">N25-N39-N47</f>
        <v>-8345.34212352547</v>
      </c>
      <c r="O48" s="44" t="n">
        <f aca="false">O25-O39-O47</f>
        <v>-6128.46840203222</v>
      </c>
      <c r="P48" s="44" t="n">
        <f aca="false">P25-P39-P47</f>
        <v>-11724.2810752778</v>
      </c>
      <c r="Q48" s="44" t="n">
        <f aca="false">Q25-Q39-Q47</f>
        <v>-10926.0741066756</v>
      </c>
      <c r="R48" s="44" t="n">
        <f aca="false">R25-R39-R47</f>
        <v>-5813.90487829687</v>
      </c>
      <c r="S48" s="44" t="n">
        <f aca="false">S25-S39-S47</f>
        <v>-5193.54521839005</v>
      </c>
      <c r="T48" s="44" t="n">
        <f aca="false">T25-T39-T47</f>
        <v>-288.172931172827</v>
      </c>
      <c r="U48" s="44" t="n">
        <f aca="false">U25-U39-U47</f>
        <v>4172.3661411589</v>
      </c>
      <c r="V48" s="44" t="n">
        <f aca="false">V25-V39-V47</f>
        <v>-948.759699181639</v>
      </c>
      <c r="W48" s="44" t="n">
        <f aca="false">W25-W39-W47</f>
        <v>-5608.7094337348</v>
      </c>
      <c r="X48" s="44" t="n">
        <f aca="false">X25-X39-X47</f>
        <v>2873.80829154451</v>
      </c>
      <c r="Y48" s="44" t="n">
        <f aca="false">Y25-Y39-Y47</f>
        <v>5612.40860328808</v>
      </c>
      <c r="Z48" s="44" t="n">
        <f aca="false">Z25-Z39-Z47</f>
        <v>7642.73569799874</v>
      </c>
      <c r="AA48" s="44" t="n">
        <f aca="false">AA25-AA39-AA47</f>
        <v>12368.936080113</v>
      </c>
      <c r="AB48" s="44" t="n">
        <f aca="false">AB25-AB39-AB47</f>
        <v>10343.7379669683</v>
      </c>
      <c r="AC48" s="44" t="n">
        <f aca="false">AC25-AC39-AC47</f>
        <v>15403.0057236326</v>
      </c>
      <c r="AD48" s="44" t="n">
        <f aca="false">AD25-AD39-AD47</f>
        <v>17206.8703357865</v>
      </c>
      <c r="AE48" s="44" t="n">
        <f aca="false">AE25-AE39-AE47</f>
        <v>23960.9914135653</v>
      </c>
      <c r="AF48" s="44" t="n">
        <f aca="false">AF25-AF39-AF47</f>
        <v>27148.5087054928</v>
      </c>
      <c r="AG48" s="44" t="n">
        <f aca="false">AG25-AG39-AG47</f>
        <v>32143.275668248</v>
      </c>
      <c r="AH48" s="44" t="n">
        <f aca="false">AH25-AH39-AH47</f>
        <v>34861.0812721733</v>
      </c>
      <c r="AI48" s="44" t="n">
        <f aca="false">AI25-AI39-AI47</f>
        <v>23150.8581121414</v>
      </c>
      <c r="AJ48" s="44" t="n">
        <f aca="false">AJ25-AJ39-AJ47</f>
        <v>41450.070141631</v>
      </c>
      <c r="AK48" s="44" t="n">
        <f aca="false">AK25-AK39-AK47</f>
        <v>44550.4874233175</v>
      </c>
      <c r="AL48" s="44" t="n">
        <f aca="false">AL25-AL39-AL47</f>
        <v>46351.2190565296</v>
      </c>
      <c r="AM48" s="44" t="n">
        <f aca="false">AM25-AM39-AM47</f>
        <v>50542.781099015</v>
      </c>
      <c r="AO48" s="44" t="n">
        <f aca="false">SUMIF($D$4:$AM$4,AO$4,$D48:$AM48)</f>
        <v>-153308.837270072</v>
      </c>
      <c r="AP48" s="44" t="n">
        <f aca="false">SUMIF($D$4:$AM$4,AP$4,$D48:$AM48)</f>
        <v>-7833.1925286264</v>
      </c>
      <c r="AQ48" s="44" t="n">
        <f aca="false">SUMIF($D$4:$AM$4,AQ$4,$D48:$AM48)</f>
        <v>367112.886918501</v>
      </c>
    </row>
    <row r="49" customFormat="false" ht="15" hidden="false" customHeight="false" outlineLevel="0" collapsed="false">
      <c r="A49" s="10" t="s">
        <v>227</v>
      </c>
      <c r="B49" s="13" t="s">
        <v>66</v>
      </c>
      <c r="C49" s="58" t="n">
        <v>0</v>
      </c>
      <c r="D49" s="41" t="n">
        <f aca="false">IF(D19=0,0,D48/D19)</f>
        <v>-14.2106710002202</v>
      </c>
      <c r="E49" s="41" t="n">
        <f aca="false">IF(E19=0,0,E48/E19)</f>
        <v>-4.27414738240437</v>
      </c>
      <c r="F49" s="41" t="n">
        <f aca="false">IF(F19=0,0,F48/F19)</f>
        <v>-2.15370986123712</v>
      </c>
      <c r="G49" s="41" t="n">
        <f aca="false">IF(G19=0,0,G48/G19)</f>
        <v>-1.79682657472403</v>
      </c>
      <c r="H49" s="41" t="n">
        <f aca="false">IF(H19=0,0,H48/H19)</f>
        <v>-1.19610650963492</v>
      </c>
      <c r="I49" s="41" t="n">
        <f aca="false">IF(I19=0,0,I48/I19)</f>
        <v>-0.815928361812991</v>
      </c>
      <c r="J49" s="41" t="n">
        <f aca="false">IF(J19=0,0,J48/J19)</f>
        <v>-0.619583938703863</v>
      </c>
      <c r="K49" s="41" t="n">
        <f aca="false">IF(K19=0,0,K48/K19)</f>
        <v>-0.764452571010943</v>
      </c>
      <c r="L49" s="41" t="n">
        <f aca="false">IF(L19=0,0,L48/L19)</f>
        <v>-0.314440805755108</v>
      </c>
      <c r="M49" s="41" t="n">
        <f aca="false">IF(M19=0,0,M48/M19)</f>
        <v>-0.368396639393271</v>
      </c>
      <c r="N49" s="41" t="n">
        <f aca="false">IF(N19=0,0,N48/N19)</f>
        <v>-0.295637173176701</v>
      </c>
      <c r="O49" s="41" t="n">
        <f aca="false">IF(O19=0,0,O48/O19)</f>
        <v>-0.195428181417237</v>
      </c>
      <c r="P49" s="41" t="n">
        <f aca="false">IF(P19=0,0,P48/P19)</f>
        <v>-0.34678249648021</v>
      </c>
      <c r="Q49" s="41" t="n">
        <f aca="false">IF(Q19=0,0,Q48/Q19)</f>
        <v>-0.280343975936836</v>
      </c>
      <c r="R49" s="41" t="n">
        <f aca="false">IF(R19=0,0,R48/R19)</f>
        <v>-0.125802179845941</v>
      </c>
      <c r="S49" s="41" t="n">
        <f aca="false">IF(S19=0,0,S48/S19)</f>
        <v>-0.0989512755867476</v>
      </c>
      <c r="T49" s="41" t="n">
        <f aca="false">IF(T19=0,0,T48/T19)</f>
        <v>-0.00484904619482389</v>
      </c>
      <c r="U49" s="41" t="n">
        <f aca="false">IF(U19=0,0,U48/U19)</f>
        <v>0.0626323427568507</v>
      </c>
      <c r="V49" s="41" t="n">
        <f aca="false">IF(V19=0,0,V48/V19)</f>
        <v>-0.0134864750238332</v>
      </c>
      <c r="W49" s="41" t="n">
        <f aca="false">IF(W19=0,0,W48/W19)</f>
        <v>-0.094814609772151</v>
      </c>
      <c r="X49" s="41" t="n">
        <f aca="false">IF(X19=0,0,X48/X19)</f>
        <v>0.0354374909409037</v>
      </c>
      <c r="Y49" s="41" t="n">
        <f aca="false">IF(Y19=0,0,Y48/Y19)</f>
        <v>0.0661139591755654</v>
      </c>
      <c r="Z49" s="41" t="n">
        <f aca="false">IF(Z19=0,0,Z48/Z19)</f>
        <v>0.0871915037434091</v>
      </c>
      <c r="AA49" s="41" t="n">
        <f aca="false">IF(AA19=0,0,AA48/AA19)</f>
        <v>0.131099679264093</v>
      </c>
      <c r="AB49" s="41" t="n">
        <f aca="false">IF(AB19=0,0,AB48/AB19)</f>
        <v>0.107577409815959</v>
      </c>
      <c r="AC49" s="41" t="n">
        <f aca="false">IF(AC19=0,0,AC48/AC19)</f>
        <v>0.149200840970378</v>
      </c>
      <c r="AD49" s="41" t="n">
        <f aca="false">IF(AD19=0,0,AD48/AD19)</f>
        <v>0.148901242526817</v>
      </c>
      <c r="AE49" s="41" t="n">
        <f aca="false">IF(AE19=0,0,AE48/AE19)</f>
        <v>0.19150820964897</v>
      </c>
      <c r="AF49" s="41" t="n">
        <f aca="false">IF(AF19=0,0,AF48/AF19)</f>
        <v>0.199511410799373</v>
      </c>
      <c r="AG49" s="41" t="n">
        <f aca="false">IF(AG19=0,0,AG48/AG19)</f>
        <v>0.218114442528859</v>
      </c>
      <c r="AH49" s="41" t="n">
        <f aca="false">IF(AH19=0,0,AH48/AH19)</f>
        <v>0.230784566680266</v>
      </c>
      <c r="AI49" s="41" t="n">
        <f aca="false">IF(AI19=0,0,AI48/AI19)</f>
        <v>0.187076983888527</v>
      </c>
      <c r="AJ49" s="41" t="n">
        <f aca="false">IF(AJ19=0,0,AJ48/AJ19)</f>
        <v>0.250007041654234</v>
      </c>
      <c r="AK49" s="41" t="n">
        <f aca="false">IF(AK19=0,0,AK48/AK19)</f>
        <v>0.261992022509404</v>
      </c>
      <c r="AL49" s="41" t="n">
        <f aca="false">IF(AL19=0,0,AL48/AL19)</f>
        <v>0.268852601721677</v>
      </c>
      <c r="AM49" s="41" t="n">
        <f aca="false">IF(AM19=0,0,AM48/AM19)</f>
        <v>0.276884949957603</v>
      </c>
      <c r="AO49" s="41" t="n">
        <f aca="false">IF(AO19=0,0,AO48/AO19)</f>
        <v>-0.780192937716053</v>
      </c>
      <c r="AP49" s="41" t="n">
        <f aca="false">IF(AP19=0,0,AP48/AP19)</f>
        <v>-0.0101070926014282</v>
      </c>
      <c r="AQ49" s="41" t="n">
        <f aca="false">IF(AQ19=0,0,AQ48/AQ19)</f>
        <v>0.217342454288518</v>
      </c>
    </row>
    <row r="50" customFormat="false" ht="15" hidden="false" customHeight="false" outlineLevel="0" collapsed="false">
      <c r="A50" s="5" t="s">
        <v>413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</row>
    <row r="51" customFormat="false" ht="15" hidden="false" customHeight="false" outlineLevel="0" collapsed="false">
      <c r="A51" s="10" t="s">
        <v>414</v>
      </c>
      <c r="B51" s="13" t="s">
        <v>71</v>
      </c>
      <c r="C51" s="50" t="n">
        <v>0</v>
      </c>
      <c r="D51" s="45" t="n">
        <f aca="false">(D41-C41)*prix_ligne</f>
        <v>150000</v>
      </c>
      <c r="E51" s="45" t="n">
        <f aca="false">(E41-D41)*prix_ligne</f>
        <v>0</v>
      </c>
      <c r="F51" s="45" t="n">
        <f aca="false">(F41-E41)*prix_ligne</f>
        <v>0</v>
      </c>
      <c r="G51" s="45" t="n">
        <f aca="false">(G41-F41)*prix_ligne</f>
        <v>0</v>
      </c>
      <c r="H51" s="45" t="n">
        <f aca="false">(H41-G41)*prix_ligne</f>
        <v>0</v>
      </c>
      <c r="I51" s="45" t="n">
        <f aca="false">(I41-H41)*prix_ligne</f>
        <v>0</v>
      </c>
      <c r="J51" s="45" t="n">
        <f aca="false">(J41-I41)*prix_ligne</f>
        <v>0</v>
      </c>
      <c r="K51" s="45" t="n">
        <f aca="false">(K41-J41)*prix_ligne</f>
        <v>0</v>
      </c>
      <c r="L51" s="45" t="n">
        <f aca="false">(L41-K41)*prix_ligne</f>
        <v>0</v>
      </c>
      <c r="M51" s="45" t="n">
        <f aca="false">(M41-L41)*prix_ligne</f>
        <v>0</v>
      </c>
      <c r="N51" s="45" t="n">
        <f aca="false">(N41-M41)*prix_ligne</f>
        <v>0</v>
      </c>
      <c r="O51" s="45" t="n">
        <f aca="false">(O41-N41)*prix_ligne</f>
        <v>0</v>
      </c>
      <c r="P51" s="45" t="n">
        <f aca="false">(P41-O41)*prix_ligne</f>
        <v>0</v>
      </c>
      <c r="Q51" s="45" t="n">
        <f aca="false">(Q41-P41)*prix_ligne</f>
        <v>0</v>
      </c>
      <c r="R51" s="45" t="n">
        <f aca="false">(R41-Q41)*prix_ligne</f>
        <v>0</v>
      </c>
      <c r="S51" s="45" t="n">
        <f aca="false">(S41-R41)*prix_ligne</f>
        <v>0</v>
      </c>
      <c r="T51" s="45" t="n">
        <f aca="false">(T41-S41)*prix_ligne</f>
        <v>0</v>
      </c>
      <c r="U51" s="45" t="n">
        <f aca="false">(U41-T41)*prix_ligne</f>
        <v>150000</v>
      </c>
      <c r="V51" s="45" t="n">
        <f aca="false">(V41-U41)*prix_ligne</f>
        <v>0</v>
      </c>
      <c r="W51" s="45" t="n">
        <f aca="false">(W41-V41)*prix_ligne</f>
        <v>0</v>
      </c>
      <c r="X51" s="45" t="n">
        <f aca="false">(X41-W41)*prix_ligne</f>
        <v>0</v>
      </c>
      <c r="Y51" s="45" t="n">
        <f aca="false">(Y41-X41)*prix_ligne</f>
        <v>0</v>
      </c>
      <c r="Z51" s="45" t="n">
        <f aca="false">(Z41-Y41)*prix_ligne</f>
        <v>0</v>
      </c>
      <c r="AA51" s="45" t="n">
        <f aca="false">(AA41-Z41)*prix_ligne</f>
        <v>0</v>
      </c>
      <c r="AB51" s="45" t="n">
        <f aca="false">(AB41-AA41)*prix_ligne</f>
        <v>0</v>
      </c>
      <c r="AC51" s="45" t="n">
        <f aca="false">(AC41-AB41)*prix_ligne</f>
        <v>0</v>
      </c>
      <c r="AD51" s="45" t="n">
        <f aca="false">(AD41-AC41)*prix_ligne</f>
        <v>0</v>
      </c>
      <c r="AE51" s="45" t="n">
        <f aca="false">(AE41-AD41)*prix_ligne</f>
        <v>0</v>
      </c>
      <c r="AF51" s="45" t="n">
        <f aca="false">(AF41-AE41)*prix_ligne</f>
        <v>150000</v>
      </c>
      <c r="AG51" s="45" t="n">
        <f aca="false">(AG41-AF41)*prix_ligne</f>
        <v>0</v>
      </c>
      <c r="AH51" s="45" t="n">
        <f aca="false">(AH41-AG41)*prix_ligne</f>
        <v>0</v>
      </c>
      <c r="AI51" s="45" t="n">
        <f aca="false">(AI41-AH41)*prix_ligne</f>
        <v>0</v>
      </c>
      <c r="AJ51" s="45" t="n">
        <f aca="false">(AJ41-AI41)*prix_ligne</f>
        <v>0</v>
      </c>
      <c r="AK51" s="45" t="n">
        <f aca="false">(AK41-AJ41)*prix_ligne</f>
        <v>0</v>
      </c>
      <c r="AL51" s="45" t="n">
        <f aca="false">(AL41-AK41)*prix_ligne</f>
        <v>0</v>
      </c>
      <c r="AM51" s="45" t="n">
        <f aca="false">(AM41-AL41)*prix_ligne</f>
        <v>0</v>
      </c>
      <c r="AO51" s="45" t="n">
        <f aca="false">SUMIF($D$4:$AM$4,AO$4,$D51:$AM51)</f>
        <v>150000</v>
      </c>
      <c r="AP51" s="45" t="n">
        <f aca="false">SUMIF($D$4:$AM$4,AP$4,$D51:$AM51)</f>
        <v>150000</v>
      </c>
      <c r="AQ51" s="45" t="n">
        <f aca="false">SUMIF($D$4:$AM$4,AQ$4,$D51:$AM51)</f>
        <v>150000</v>
      </c>
    </row>
    <row r="52" customFormat="false" ht="15" hidden="false" customHeight="false" outlineLevel="0" collapsed="false">
      <c r="A52" s="10" t="s">
        <v>118</v>
      </c>
      <c r="B52" s="13" t="s">
        <v>71</v>
      </c>
      <c r="C52" s="50" t="n">
        <v>0</v>
      </c>
      <c r="D52" s="45" t="n">
        <f aca="false">IF(D$6=mois_amenagement,amenagement,0)</f>
        <v>70000</v>
      </c>
      <c r="E52" s="45" t="n">
        <f aca="false">IF(E$6=mois_amenagement,amenagement,0)</f>
        <v>0</v>
      </c>
      <c r="F52" s="45" t="n">
        <f aca="false">IF(F$6=mois_amenagement,amenagement,0)</f>
        <v>0</v>
      </c>
      <c r="G52" s="45" t="n">
        <f aca="false">IF(G$6=mois_amenagement,amenagement,0)</f>
        <v>0</v>
      </c>
      <c r="H52" s="45" t="n">
        <f aca="false">IF(H$6=mois_amenagement,amenagement,0)</f>
        <v>0</v>
      </c>
      <c r="I52" s="45" t="n">
        <f aca="false">IF(I$6=mois_amenagement,amenagement,0)</f>
        <v>0</v>
      </c>
      <c r="J52" s="45" t="n">
        <f aca="false">IF(J$6=mois_amenagement,amenagement,0)</f>
        <v>0</v>
      </c>
      <c r="K52" s="45" t="n">
        <f aca="false">IF(K$6=mois_amenagement,amenagement,0)</f>
        <v>0</v>
      </c>
      <c r="L52" s="45" t="n">
        <f aca="false">IF(L$6=mois_amenagement,amenagement,0)</f>
        <v>0</v>
      </c>
      <c r="M52" s="45" t="n">
        <f aca="false">IF(M$6=mois_amenagement,amenagement,0)</f>
        <v>0</v>
      </c>
      <c r="N52" s="45" t="n">
        <f aca="false">IF(N$6=mois_amenagement,amenagement,0)</f>
        <v>0</v>
      </c>
      <c r="O52" s="45" t="n">
        <f aca="false">IF(O$6=mois_amenagement,amenagement,0)</f>
        <v>0</v>
      </c>
      <c r="P52" s="45" t="n">
        <f aca="false">IF(P$6=mois_amenagement,amenagement,0)</f>
        <v>0</v>
      </c>
      <c r="Q52" s="45" t="n">
        <f aca="false">IF(Q$6=mois_amenagement,amenagement,0)</f>
        <v>0</v>
      </c>
      <c r="R52" s="45" t="n">
        <f aca="false">IF(R$6=mois_amenagement,amenagement,0)</f>
        <v>0</v>
      </c>
      <c r="S52" s="45" t="n">
        <f aca="false">IF(S$6=mois_amenagement,amenagement,0)</f>
        <v>0</v>
      </c>
      <c r="T52" s="45" t="n">
        <f aca="false">IF(T$6=mois_amenagement,amenagement,0)</f>
        <v>0</v>
      </c>
      <c r="U52" s="45" t="n">
        <f aca="false">IF(U$6=mois_amenagement,amenagement,0)</f>
        <v>0</v>
      </c>
      <c r="V52" s="45" t="n">
        <f aca="false">IF(V$6=mois_amenagement,amenagement,0)</f>
        <v>0</v>
      </c>
      <c r="W52" s="45" t="n">
        <f aca="false">IF(W$6=mois_amenagement,amenagement,0)</f>
        <v>0</v>
      </c>
      <c r="X52" s="45" t="n">
        <f aca="false">IF(X$6=mois_amenagement,amenagement,0)</f>
        <v>0</v>
      </c>
      <c r="Y52" s="45" t="n">
        <f aca="false">IF(Y$6=mois_amenagement,amenagement,0)</f>
        <v>0</v>
      </c>
      <c r="Z52" s="45" t="n">
        <f aca="false">IF(Z$6=mois_amenagement,amenagement,0)</f>
        <v>0</v>
      </c>
      <c r="AA52" s="45" t="n">
        <f aca="false">IF(AA$6=mois_amenagement,amenagement,0)</f>
        <v>0</v>
      </c>
      <c r="AB52" s="45" t="n">
        <f aca="false">IF(AB$6=mois_amenagement,amenagement,0)</f>
        <v>0</v>
      </c>
      <c r="AC52" s="45" t="n">
        <f aca="false">IF(AC$6=mois_amenagement,amenagement,0)</f>
        <v>0</v>
      </c>
      <c r="AD52" s="45" t="n">
        <f aca="false">IF(AD$6=mois_amenagement,amenagement,0)</f>
        <v>0</v>
      </c>
      <c r="AE52" s="45" t="n">
        <f aca="false">IF(AE$6=mois_amenagement,amenagement,0)</f>
        <v>0</v>
      </c>
      <c r="AF52" s="45" t="n">
        <f aca="false">IF(AF$6=mois_amenagement,amenagement,0)</f>
        <v>0</v>
      </c>
      <c r="AG52" s="45" t="n">
        <f aca="false">IF(AG$6=mois_amenagement,amenagement,0)</f>
        <v>0</v>
      </c>
      <c r="AH52" s="45" t="n">
        <f aca="false">IF(AH$6=mois_amenagement,amenagement,0)</f>
        <v>0</v>
      </c>
      <c r="AI52" s="45" t="n">
        <f aca="false">IF(AI$6=mois_amenagement,amenagement,0)</f>
        <v>0</v>
      </c>
      <c r="AJ52" s="45" t="n">
        <f aca="false">IF(AJ$6=mois_amenagement,amenagement,0)</f>
        <v>0</v>
      </c>
      <c r="AK52" s="45" t="n">
        <f aca="false">IF(AK$6=mois_amenagement,amenagement,0)</f>
        <v>0</v>
      </c>
      <c r="AL52" s="45" t="n">
        <f aca="false">IF(AL$6=mois_amenagement,amenagement,0)</f>
        <v>0</v>
      </c>
      <c r="AM52" s="45" t="n">
        <f aca="false">IF(AM$6=mois_amenagement,amenagement,0)</f>
        <v>0</v>
      </c>
      <c r="AO52" s="45" t="n">
        <f aca="false">SUMIF($D$4:$AM$4,AO$4,$D52:$AM52)</f>
        <v>70000</v>
      </c>
      <c r="AP52" s="45" t="n">
        <f aca="false">SUMIF($D$4:$AM$4,AP$4,$D52:$AM52)</f>
        <v>0</v>
      </c>
      <c r="AQ52" s="45" t="n">
        <f aca="false">SUMIF($D$4:$AM$4,AQ$4,$D52:$AM52)</f>
        <v>0</v>
      </c>
    </row>
    <row r="53" customFormat="false" ht="15" hidden="false" customHeight="false" outlineLevel="0" collapsed="false">
      <c r="A53" s="10" t="s">
        <v>415</v>
      </c>
      <c r="B53" s="13" t="s">
        <v>59</v>
      </c>
      <c r="C53" s="50" t="n">
        <v>0</v>
      </c>
      <c r="D53" s="45" t="n">
        <f aca="false">MAX(stock_initial,D13/rot_par_contenant*(1+tampon_contenants))</f>
        <v>8000</v>
      </c>
      <c r="E53" s="45" t="n">
        <f aca="false">MAX(stock_initial,E13/rot_par_contenant*(1+tampon_contenants))</f>
        <v>8000</v>
      </c>
      <c r="F53" s="45" t="n">
        <f aca="false">MAX(stock_initial,F13/rot_par_contenant*(1+tampon_contenants))</f>
        <v>8000</v>
      </c>
      <c r="G53" s="45" t="n">
        <f aca="false">MAX(stock_initial,G13/rot_par_contenant*(1+tampon_contenants))</f>
        <v>8000</v>
      </c>
      <c r="H53" s="45" t="n">
        <f aca="false">MAX(stock_initial,H13/rot_par_contenant*(1+tampon_contenants))</f>
        <v>8000</v>
      </c>
      <c r="I53" s="45" t="n">
        <f aca="false">MAX(stock_initial,I13/rot_par_contenant*(1+tampon_contenants))</f>
        <v>8035.58389940788</v>
      </c>
      <c r="J53" s="45" t="n">
        <f aca="false">MAX(stock_initial,J13/rot_par_contenant*(1+tampon_contenants))</f>
        <v>9196.35424965116</v>
      </c>
      <c r="K53" s="45" t="n">
        <f aca="false">MAX(stock_initial,K13/rot_par_contenant*(1+tampon_contenants))</f>
        <v>8052.77212621253</v>
      </c>
      <c r="L53" s="45" t="n">
        <f aca="false">MAX(stock_initial,L13/rot_par_contenant*(1+tampon_contenants))</f>
        <v>11931.1893083287</v>
      </c>
      <c r="M53" s="45" t="n">
        <f aca="false">MAX(stock_initial,M13/rot_par_contenant*(1+tampon_contenants))</f>
        <v>13029.2251311219</v>
      </c>
      <c r="N53" s="45" t="n">
        <f aca="false">MAX(stock_initial,N13/rot_par_contenant*(1+tampon_contenants))</f>
        <v>13926.1352719154</v>
      </c>
      <c r="O53" s="45" t="n">
        <f aca="false">MAX(stock_initial,O13/rot_par_contenant*(1+tampon_contenants))</f>
        <v>15496.1727135349</v>
      </c>
      <c r="P53" s="45" t="n">
        <f aca="false">MAX(stock_initial,P13/rot_par_contenant*(1+tampon_contenants))</f>
        <v>16280.3282012111</v>
      </c>
      <c r="Q53" s="45" t="n">
        <f aca="false">MAX(stock_initial,Q13/rot_par_contenant*(1+tampon_contenants))</f>
        <v>18767.5255756014</v>
      </c>
      <c r="R53" s="45" t="n">
        <f aca="false">MAX(stock_initial,R13/rot_par_contenant*(1+tampon_contenants))</f>
        <v>22352.4477589437</v>
      </c>
      <c r="S53" s="45" t="n">
        <f aca="false">MAX(stock_initial,S13/rot_par_contenant*(1+tampon_contenants))</f>
        <v>25427.4047404096</v>
      </c>
      <c r="T53" s="45" t="n">
        <f aca="false">MAX(stock_initial,T13/rot_par_contenant*(1+tampon_contenants))</f>
        <v>28858.8274290301</v>
      </c>
      <c r="U53" s="45" t="n">
        <f aca="false">MAX(stock_initial,U13/rot_par_contenant*(1+tampon_contenants))</f>
        <v>32421.5144327292</v>
      </c>
      <c r="V53" s="45" t="n">
        <f aca="false">MAX(stock_initial,V13/rot_par_contenant*(1+tampon_contenants))</f>
        <v>34161.7094751211</v>
      </c>
      <c r="W53" s="45" t="n">
        <f aca="false">MAX(stock_initial,W13/rot_par_contenant*(1+tampon_contenants))</f>
        <v>28023.9053709105</v>
      </c>
      <c r="X53" s="45" t="n">
        <f aca="false">MAX(stock_initial,X13/rot_par_contenant*(1+tampon_contenants))</f>
        <v>39380.0847929255</v>
      </c>
      <c r="Y53" s="45" t="n">
        <f aca="false">MAX(stock_initial,Y13/rot_par_contenant*(1+tampon_contenants))</f>
        <v>41158.8040362091</v>
      </c>
      <c r="Z53" s="45" t="n">
        <f aca="false">MAX(stock_initial,Z13/rot_par_contenant*(1+tampon_contenants))</f>
        <v>42395.5238873005</v>
      </c>
      <c r="AA53" s="45" t="n">
        <f aca="false">MAX(stock_initial,AA13/rot_par_contenant*(1+tampon_contenants))</f>
        <v>45707.7908901261</v>
      </c>
      <c r="AB53" s="45" t="n">
        <f aca="false">MAX(stock_initial,AB13/rot_par_contenant*(1+tampon_contenants))</f>
        <v>45393.1538577008</v>
      </c>
      <c r="AC53" s="45" t="n">
        <f aca="false">MAX(stock_initial,AC13/rot_par_contenant*(1+tampon_contenants))</f>
        <v>48738.0486268392</v>
      </c>
      <c r="AD53" s="45" t="n">
        <f aca="false">MAX(stock_initial,AD13/rot_par_contenant*(1+tampon_contenants))</f>
        <v>54795.9834082363</v>
      </c>
      <c r="AE53" s="45" t="n">
        <f aca="false">MAX(stock_initial,AE13/rot_par_contenant*(1+tampon_contenants))</f>
        <v>59426.0318517898</v>
      </c>
      <c r="AF53" s="45" t="n">
        <f aca="false">MAX(stock_initial,AF13/rot_par_contenant*(1+tampon_contenants))</f>
        <v>64782.8254674748</v>
      </c>
      <c r="AG53" s="45" t="n">
        <f aca="false">MAX(stock_initial,AG13/rot_par_contenant*(1+tampon_contenants))</f>
        <v>70316.1492312703</v>
      </c>
      <c r="AH53" s="45" t="n">
        <f aca="false">MAX(stock_initial,AH13/rot_par_contenant*(1+tampon_contenants))</f>
        <v>71914.3794808251</v>
      </c>
      <c r="AI53" s="45" t="n">
        <f aca="false">MAX(stock_initial,AI13/rot_par_contenant*(1+tampon_contenants))</f>
        <v>57476.1329104598</v>
      </c>
      <c r="AJ53" s="45" t="n">
        <f aca="false">MAX(stock_initial,AJ13/rot_par_contenant*(1+tampon_contenants))</f>
        <v>78932.2850494187</v>
      </c>
      <c r="AK53" s="45" t="n">
        <f aca="false">MAX(stock_initial,AK13/rot_par_contenant*(1+tampon_contenants))</f>
        <v>80829.6784496134</v>
      </c>
      <c r="AL53" s="45" t="n">
        <f aca="false">MAX(stock_initial,AL13/rot_par_contenant*(1+tampon_contenants))</f>
        <v>81750.8126427344</v>
      </c>
      <c r="AM53" s="45" t="n">
        <f aca="false">MAX(stock_initial,AM13/rot_par_contenant*(1+tampon_contenants))</f>
        <v>86700.0062644244</v>
      </c>
    </row>
    <row r="54" customFormat="false" ht="15" hidden="false" customHeight="false" outlineLevel="0" collapsed="false">
      <c r="A54" s="10" t="s">
        <v>416</v>
      </c>
      <c r="B54" s="13" t="s">
        <v>59</v>
      </c>
      <c r="C54" s="50" t="n">
        <v>0</v>
      </c>
      <c r="D54" s="45" t="n">
        <f aca="false">MAX(C54,D53)</f>
        <v>8000</v>
      </c>
      <c r="E54" s="45" t="n">
        <f aca="false">MAX(D54,E53)</f>
        <v>8000</v>
      </c>
      <c r="F54" s="45" t="n">
        <f aca="false">MAX(E54,F53)</f>
        <v>8000</v>
      </c>
      <c r="G54" s="45" t="n">
        <f aca="false">MAX(F54,G53)</f>
        <v>8000</v>
      </c>
      <c r="H54" s="45" t="n">
        <f aca="false">MAX(G54,H53)</f>
        <v>8000</v>
      </c>
      <c r="I54" s="45" t="n">
        <f aca="false">MAX(H54,I53)</f>
        <v>8035.58389940788</v>
      </c>
      <c r="J54" s="45" t="n">
        <f aca="false">MAX(I54,J53)</f>
        <v>9196.35424965116</v>
      </c>
      <c r="K54" s="45" t="n">
        <f aca="false">MAX(J54,K53)</f>
        <v>9196.35424965116</v>
      </c>
      <c r="L54" s="45" t="n">
        <f aca="false">MAX(K54,L53)</f>
        <v>11931.1893083287</v>
      </c>
      <c r="M54" s="45" t="n">
        <f aca="false">MAX(L54,M53)</f>
        <v>13029.2251311219</v>
      </c>
      <c r="N54" s="45" t="n">
        <f aca="false">MAX(M54,N53)</f>
        <v>13926.1352719154</v>
      </c>
      <c r="O54" s="45" t="n">
        <f aca="false">MAX(N54,O53)</f>
        <v>15496.1727135349</v>
      </c>
      <c r="P54" s="45" t="n">
        <f aca="false">MAX(O54,P53)</f>
        <v>16280.3282012111</v>
      </c>
      <c r="Q54" s="45" t="n">
        <f aca="false">MAX(P54,Q53)</f>
        <v>18767.5255756014</v>
      </c>
      <c r="R54" s="45" t="n">
        <f aca="false">MAX(Q54,R53)</f>
        <v>22352.4477589437</v>
      </c>
      <c r="S54" s="45" t="n">
        <f aca="false">MAX(R54,S53)</f>
        <v>25427.4047404096</v>
      </c>
      <c r="T54" s="45" t="n">
        <f aca="false">MAX(S54,T53)</f>
        <v>28858.8274290301</v>
      </c>
      <c r="U54" s="45" t="n">
        <f aca="false">MAX(T54,U53)</f>
        <v>32421.5144327292</v>
      </c>
      <c r="V54" s="45" t="n">
        <f aca="false">MAX(U54,V53)</f>
        <v>34161.7094751211</v>
      </c>
      <c r="W54" s="45" t="n">
        <f aca="false">MAX(V54,W53)</f>
        <v>34161.7094751211</v>
      </c>
      <c r="X54" s="45" t="n">
        <f aca="false">MAX(W54,X53)</f>
        <v>39380.0847929255</v>
      </c>
      <c r="Y54" s="45" t="n">
        <f aca="false">MAX(X54,Y53)</f>
        <v>41158.8040362091</v>
      </c>
      <c r="Z54" s="45" t="n">
        <f aca="false">MAX(Y54,Z53)</f>
        <v>42395.5238873005</v>
      </c>
      <c r="AA54" s="45" t="n">
        <f aca="false">MAX(Z54,AA53)</f>
        <v>45707.7908901261</v>
      </c>
      <c r="AB54" s="45" t="n">
        <f aca="false">MAX(AA54,AB53)</f>
        <v>45707.7908901261</v>
      </c>
      <c r="AC54" s="45" t="n">
        <f aca="false">MAX(AB54,AC53)</f>
        <v>48738.0486268392</v>
      </c>
      <c r="AD54" s="45" t="n">
        <f aca="false">MAX(AC54,AD53)</f>
        <v>54795.9834082363</v>
      </c>
      <c r="AE54" s="45" t="n">
        <f aca="false">MAX(AD54,AE53)</f>
        <v>59426.0318517898</v>
      </c>
      <c r="AF54" s="45" t="n">
        <f aca="false">MAX(AE54,AF53)</f>
        <v>64782.8254674748</v>
      </c>
      <c r="AG54" s="45" t="n">
        <f aca="false">MAX(AF54,AG53)</f>
        <v>70316.1492312703</v>
      </c>
      <c r="AH54" s="45" t="n">
        <f aca="false">MAX(AG54,AH53)</f>
        <v>71914.3794808251</v>
      </c>
      <c r="AI54" s="45" t="n">
        <f aca="false">MAX(AH54,AI53)</f>
        <v>71914.3794808251</v>
      </c>
      <c r="AJ54" s="45" t="n">
        <f aca="false">MAX(AI54,AJ53)</f>
        <v>78932.2850494187</v>
      </c>
      <c r="AK54" s="45" t="n">
        <f aca="false">MAX(AJ54,AK53)</f>
        <v>80829.6784496134</v>
      </c>
      <c r="AL54" s="45" t="n">
        <f aca="false">MAX(AK54,AL53)</f>
        <v>81750.8126427344</v>
      </c>
      <c r="AM54" s="45" t="n">
        <f aca="false">MAX(AL54,AM53)</f>
        <v>86700.0062644244</v>
      </c>
      <c r="AO54" s="45" t="n">
        <f aca="false">INDEX($D54:$AM54,(AO$4-annee_debut)*12+12)</f>
        <v>15496.1727135349</v>
      </c>
      <c r="AP54" s="45" t="n">
        <f aca="false">INDEX($D54:$AM54,(AP$4-annee_debut)*12+12)</f>
        <v>45707.7908901261</v>
      </c>
      <c r="AQ54" s="45" t="n">
        <f aca="false">INDEX($D54:$AM54,(AQ$4-annee_debut)*12+12)</f>
        <v>86700.0062644244</v>
      </c>
    </row>
    <row r="55" customFormat="false" ht="15" hidden="false" customHeight="false" outlineLevel="0" collapsed="false">
      <c r="A55" s="10" t="s">
        <v>417</v>
      </c>
      <c r="B55" s="13" t="s">
        <v>71</v>
      </c>
      <c r="C55" s="50" t="n">
        <v>0</v>
      </c>
      <c r="D55" s="45" t="n">
        <f aca="false">(D54-C54)*cout_contenant*D15</f>
        <v>17600</v>
      </c>
      <c r="E55" s="45" t="n">
        <f aca="false">(E54-D54)*cout_contenant*E15</f>
        <v>0</v>
      </c>
      <c r="F55" s="45" t="n">
        <f aca="false">(F54-E54)*cout_contenant*F15</f>
        <v>0</v>
      </c>
      <c r="G55" s="45" t="n">
        <f aca="false">(G54-F54)*cout_contenant*G15</f>
        <v>0</v>
      </c>
      <c r="H55" s="45" t="n">
        <f aca="false">(H54-G54)*cout_contenant*H15</f>
        <v>0</v>
      </c>
      <c r="I55" s="45" t="n">
        <f aca="false">(I54-H54)*cout_contenant*I15</f>
        <v>78.2845786973329</v>
      </c>
      <c r="J55" s="45" t="n">
        <f aca="false">(J54-I54)*cout_contenant*J15</f>
        <v>2553.69477053521</v>
      </c>
      <c r="K55" s="45" t="n">
        <f aca="false">(K54-J54)*cout_contenant*K15</f>
        <v>0</v>
      </c>
      <c r="L55" s="45" t="n">
        <f aca="false">(L54-K54)*cout_contenant*L15</f>
        <v>6016.63712909063</v>
      </c>
      <c r="M55" s="45" t="n">
        <f aca="false">(M54-L54)*cout_contenant*M15</f>
        <v>2415.67881014491</v>
      </c>
      <c r="N55" s="45" t="n">
        <f aca="false">(N54-M54)*cout_contenant*N15</f>
        <v>1973.20230974584</v>
      </c>
      <c r="O55" s="45" t="n">
        <f aca="false">(O54-N54)*cout_contenant*O15</f>
        <v>3454.08237156285</v>
      </c>
      <c r="P55" s="45" t="n">
        <f aca="false">(P54-O54)*cout_contenant*P15</f>
        <v>1759.64491434532</v>
      </c>
      <c r="Q55" s="45" t="n">
        <f aca="false">(Q54-P54)*cout_contenant*Q15</f>
        <v>5581.27090813187</v>
      </c>
      <c r="R55" s="45" t="n">
        <f aca="false">(R54-Q54)*cout_contenant*R15</f>
        <v>8044.56537942029</v>
      </c>
      <c r="S55" s="45" t="n">
        <f aca="false">(S54-R54)*cout_contenant*S15</f>
        <v>6900.20346640947</v>
      </c>
      <c r="T55" s="45" t="n">
        <f aca="false">(T54-S54)*cout_contenant*T15</f>
        <v>7700.11251326427</v>
      </c>
      <c r="U55" s="45" t="n">
        <f aca="false">(U54-T54)*cout_contenant*U15</f>
        <v>7994.66963630084</v>
      </c>
      <c r="V55" s="45" t="n">
        <f aca="false">(V54-U54)*cout_contenant*V15</f>
        <v>3904.99767512733</v>
      </c>
      <c r="W55" s="45" t="n">
        <f aca="false">(W54-V54)*cout_contenant*W15</f>
        <v>0</v>
      </c>
      <c r="X55" s="45" t="n">
        <f aca="false">(X54-W54)*cout_contenant*X15</f>
        <v>11710.0342131532</v>
      </c>
      <c r="Y55" s="45" t="n">
        <f aca="false">(Y54-X54)*cout_contenant*Y15</f>
        <v>3991.44598192842</v>
      </c>
      <c r="Z55" s="45" t="n">
        <f aca="false">(Z54-Y54)*cout_contenant*Z15</f>
        <v>2775.19934584889</v>
      </c>
      <c r="AA55" s="45" t="n">
        <f aca="false">(AA54-Z54)*cout_contenant*AA15</f>
        <v>7432.72715434074</v>
      </c>
      <c r="AB55" s="45" t="n">
        <f aca="false">(AB54-AA54)*cout_contenant*AB15</f>
        <v>0</v>
      </c>
      <c r="AC55" s="45" t="n">
        <f aca="false">(AC54-AB54)*cout_contenant*AC15</f>
        <v>6935.89632840788</v>
      </c>
      <c r="AD55" s="45" t="n">
        <f aca="false">(AD54-AC54)*cout_contenant*AD15</f>
        <v>13865.8857624442</v>
      </c>
      <c r="AE55" s="45" t="n">
        <f aca="false">(AE54-AD54)*cout_contenant*AE15</f>
        <v>10597.6252814808</v>
      </c>
      <c r="AF55" s="45" t="n">
        <f aca="false">(AF54-AE54)*cout_contenant*AF15</f>
        <v>12261.057771069</v>
      </c>
      <c r="AG55" s="45" t="n">
        <f aca="false">(AG54-AF54)*cout_contenant*AG15</f>
        <v>12665.1140964762</v>
      </c>
      <c r="AH55" s="45" t="n">
        <f aca="false">(AH54-AG54)*cout_contenant*AH15</f>
        <v>3658.15725360104</v>
      </c>
      <c r="AI55" s="45" t="n">
        <f aca="false">(AI54-AH54)*cout_contenant*AI15</f>
        <v>0</v>
      </c>
      <c r="AJ55" s="45" t="n">
        <f aca="false">(AJ54-AI54)*cout_contenant*AJ15</f>
        <v>16063.1436978424</v>
      </c>
      <c r="AK55" s="45" t="n">
        <f aca="false">(AK54-AJ54)*cout_contenant*AK15</f>
        <v>4342.90580583762</v>
      </c>
      <c r="AL55" s="45" t="n">
        <f aca="false">(AL54-AK54)*cout_contenant*AL15</f>
        <v>2108.36563195091</v>
      </c>
      <c r="AM55" s="45" t="n">
        <f aca="false">(AM54-AL54)*cout_contenant*AM15</f>
        <v>11328.1102968137</v>
      </c>
      <c r="AO55" s="45" t="n">
        <f aca="false">SUMIF($D$4:$AM$4,AO$4,$D55:$AM55)</f>
        <v>34091.5799697768</v>
      </c>
      <c r="AP55" s="45" t="n">
        <f aca="false">SUMIF($D$4:$AM$4,AP$4,$D55:$AM55)</f>
        <v>67794.8711882707</v>
      </c>
      <c r="AQ55" s="45" t="n">
        <f aca="false">SUMIF($D$4:$AM$4,AQ$4,$D55:$AM55)</f>
        <v>93826.2619259238</v>
      </c>
    </row>
    <row r="56" customFormat="false" ht="15" hidden="false" customHeight="false" outlineLevel="0" collapsed="false">
      <c r="A56" s="11" t="s">
        <v>418</v>
      </c>
      <c r="B56" s="13" t="s">
        <v>71</v>
      </c>
      <c r="C56" s="50" t="n">
        <v>0</v>
      </c>
      <c r="D56" s="44" t="n">
        <f aca="false">D51+D52+D55</f>
        <v>237600</v>
      </c>
      <c r="E56" s="44" t="n">
        <f aca="false">E51+E52+E55</f>
        <v>0</v>
      </c>
      <c r="F56" s="44" t="n">
        <f aca="false">F51+F52+F55</f>
        <v>0</v>
      </c>
      <c r="G56" s="44" t="n">
        <f aca="false">G51+G52+G55</f>
        <v>0</v>
      </c>
      <c r="H56" s="44" t="n">
        <f aca="false">H51+H52+H55</f>
        <v>0</v>
      </c>
      <c r="I56" s="44" t="n">
        <f aca="false">I51+I52+I55</f>
        <v>78.2845786973329</v>
      </c>
      <c r="J56" s="44" t="n">
        <f aca="false">J51+J52+J55</f>
        <v>2553.69477053521</v>
      </c>
      <c r="K56" s="44" t="n">
        <f aca="false">K51+K52+K55</f>
        <v>0</v>
      </c>
      <c r="L56" s="44" t="n">
        <f aca="false">L51+L52+L55</f>
        <v>6016.63712909063</v>
      </c>
      <c r="M56" s="44" t="n">
        <f aca="false">M51+M52+M55</f>
        <v>2415.67881014491</v>
      </c>
      <c r="N56" s="44" t="n">
        <f aca="false">N51+N52+N55</f>
        <v>1973.20230974584</v>
      </c>
      <c r="O56" s="44" t="n">
        <f aca="false">O51+O52+O55</f>
        <v>3454.08237156285</v>
      </c>
      <c r="P56" s="44" t="n">
        <f aca="false">P51+P52+P55</f>
        <v>1759.64491434532</v>
      </c>
      <c r="Q56" s="44" t="n">
        <f aca="false">Q51+Q52+Q55</f>
        <v>5581.27090813187</v>
      </c>
      <c r="R56" s="44" t="n">
        <f aca="false">R51+R52+R55</f>
        <v>8044.56537942029</v>
      </c>
      <c r="S56" s="44" t="n">
        <f aca="false">S51+S52+S55</f>
        <v>6900.20346640947</v>
      </c>
      <c r="T56" s="44" t="n">
        <f aca="false">T51+T52+T55</f>
        <v>7700.11251326427</v>
      </c>
      <c r="U56" s="44" t="n">
        <f aca="false">U51+U52+U55</f>
        <v>157994.669636301</v>
      </c>
      <c r="V56" s="44" t="n">
        <f aca="false">V51+V52+V55</f>
        <v>3904.99767512733</v>
      </c>
      <c r="W56" s="44" t="n">
        <f aca="false">W51+W52+W55</f>
        <v>0</v>
      </c>
      <c r="X56" s="44" t="n">
        <f aca="false">X51+X52+X55</f>
        <v>11710.0342131532</v>
      </c>
      <c r="Y56" s="44" t="n">
        <f aca="false">Y51+Y52+Y55</f>
        <v>3991.44598192842</v>
      </c>
      <c r="Z56" s="44" t="n">
        <f aca="false">Z51+Z52+Z55</f>
        <v>2775.19934584889</v>
      </c>
      <c r="AA56" s="44" t="n">
        <f aca="false">AA51+AA52+AA55</f>
        <v>7432.72715434074</v>
      </c>
      <c r="AB56" s="44" t="n">
        <f aca="false">AB51+AB52+AB55</f>
        <v>0</v>
      </c>
      <c r="AC56" s="44" t="n">
        <f aca="false">AC51+AC52+AC55</f>
        <v>6935.89632840788</v>
      </c>
      <c r="AD56" s="44" t="n">
        <f aca="false">AD51+AD52+AD55</f>
        <v>13865.8857624442</v>
      </c>
      <c r="AE56" s="44" t="n">
        <f aca="false">AE51+AE52+AE55</f>
        <v>10597.6252814808</v>
      </c>
      <c r="AF56" s="44" t="n">
        <f aca="false">AF51+AF52+AF55</f>
        <v>162261.057771069</v>
      </c>
      <c r="AG56" s="44" t="n">
        <f aca="false">AG51+AG52+AG55</f>
        <v>12665.1140964762</v>
      </c>
      <c r="AH56" s="44" t="n">
        <f aca="false">AH51+AH52+AH55</f>
        <v>3658.15725360104</v>
      </c>
      <c r="AI56" s="44" t="n">
        <f aca="false">AI51+AI52+AI55</f>
        <v>0</v>
      </c>
      <c r="AJ56" s="44" t="n">
        <f aca="false">AJ51+AJ52+AJ55</f>
        <v>16063.1436978424</v>
      </c>
      <c r="AK56" s="44" t="n">
        <f aca="false">AK51+AK52+AK55</f>
        <v>4342.90580583762</v>
      </c>
      <c r="AL56" s="44" t="n">
        <f aca="false">AL51+AL52+AL55</f>
        <v>2108.36563195091</v>
      </c>
      <c r="AM56" s="44" t="n">
        <f aca="false">AM51+AM52+AM55</f>
        <v>11328.1102968137</v>
      </c>
      <c r="AO56" s="44" t="n">
        <f aca="false">SUMIF($D$4:$AM$4,AO$4,$D56:$AM56)</f>
        <v>254091.579969777</v>
      </c>
      <c r="AP56" s="44" t="n">
        <f aca="false">SUMIF($D$4:$AM$4,AP$4,$D56:$AM56)</f>
        <v>217794.871188271</v>
      </c>
      <c r="AQ56" s="44" t="n">
        <f aca="false">SUMIF($D$4:$AM$4,AQ$4,$D56:$AM56)</f>
        <v>243826.261925924</v>
      </c>
    </row>
    <row r="57" customFormat="false" ht="15" hidden="false" customHeight="false" outlineLevel="0" collapsed="false">
      <c r="A57" s="10" t="s">
        <v>419</v>
      </c>
      <c r="B57" s="13" t="s">
        <v>161</v>
      </c>
      <c r="C57" s="50" t="n">
        <v>0</v>
      </c>
      <c r="D57" s="45" t="n">
        <f aca="false">SUMPRODUCT($D51:D51*((D$6-$D$6:D$6)&lt;duree_ligne))/duree_ligne+SUMPRODUCT($D52:D52*((D$6-$D$6:D$6)&lt;duree_amenagement))/duree_amenagement</f>
        <v>2369.04761904762</v>
      </c>
      <c r="E57" s="45" t="n">
        <f aca="false">SUMPRODUCT($D51:E51*((E$6-$D$6:E$6)&lt;duree_ligne))/duree_ligne+SUMPRODUCT($D52:E52*((E$6-$D$6:E$6)&lt;duree_amenagement))/duree_amenagement</f>
        <v>2369.04761904762</v>
      </c>
      <c r="F57" s="45" t="n">
        <f aca="false">SUMPRODUCT($D51:F51*((F$6-$D$6:F$6)&lt;duree_ligne))/duree_ligne+SUMPRODUCT($D52:F52*((F$6-$D$6:F$6)&lt;duree_amenagement))/duree_amenagement</f>
        <v>2369.04761904762</v>
      </c>
      <c r="G57" s="45" t="n">
        <f aca="false">SUMPRODUCT($D51:G51*((G$6-$D$6:G$6)&lt;duree_ligne))/duree_ligne+SUMPRODUCT($D52:G52*((G$6-$D$6:G$6)&lt;duree_amenagement))/duree_amenagement</f>
        <v>2369.04761904762</v>
      </c>
      <c r="H57" s="45" t="n">
        <f aca="false">SUMPRODUCT($D51:H51*((H$6-$D$6:H$6)&lt;duree_ligne))/duree_ligne+SUMPRODUCT($D52:H52*((H$6-$D$6:H$6)&lt;duree_amenagement))/duree_amenagement</f>
        <v>2369.04761904762</v>
      </c>
      <c r="I57" s="45" t="n">
        <f aca="false">SUMPRODUCT($D51:I51*((I$6-$D$6:I$6)&lt;duree_ligne))/duree_ligne+SUMPRODUCT($D52:I52*((I$6-$D$6:I$6)&lt;duree_amenagement))/duree_amenagement</f>
        <v>2369.04761904762</v>
      </c>
      <c r="J57" s="45" t="n">
        <f aca="false">SUMPRODUCT($D51:J51*((J$6-$D$6:J$6)&lt;duree_ligne))/duree_ligne+SUMPRODUCT($D52:J52*((J$6-$D$6:J$6)&lt;duree_amenagement))/duree_amenagement</f>
        <v>2369.04761904762</v>
      </c>
      <c r="K57" s="45" t="n">
        <f aca="false">SUMPRODUCT($D51:K51*((K$6-$D$6:K$6)&lt;duree_ligne))/duree_ligne+SUMPRODUCT($D52:K52*((K$6-$D$6:K$6)&lt;duree_amenagement))/duree_amenagement</f>
        <v>2369.04761904762</v>
      </c>
      <c r="L57" s="45" t="n">
        <f aca="false">SUMPRODUCT($D51:L51*((L$6-$D$6:L$6)&lt;duree_ligne))/duree_ligne+SUMPRODUCT($D52:L52*((L$6-$D$6:L$6)&lt;duree_amenagement))/duree_amenagement</f>
        <v>2369.04761904762</v>
      </c>
      <c r="M57" s="45" t="n">
        <f aca="false">SUMPRODUCT($D51:M51*((M$6-$D$6:M$6)&lt;duree_ligne))/duree_ligne+SUMPRODUCT($D52:M52*((M$6-$D$6:M$6)&lt;duree_amenagement))/duree_amenagement</f>
        <v>2369.04761904762</v>
      </c>
      <c r="N57" s="45" t="n">
        <f aca="false">SUMPRODUCT($D51:N51*((N$6-$D$6:N$6)&lt;duree_ligne))/duree_ligne+SUMPRODUCT($D52:N52*((N$6-$D$6:N$6)&lt;duree_amenagement))/duree_amenagement</f>
        <v>2369.04761904762</v>
      </c>
      <c r="O57" s="45" t="n">
        <f aca="false">SUMPRODUCT($D51:O51*((O$6-$D$6:O$6)&lt;duree_ligne))/duree_ligne+SUMPRODUCT($D52:O52*((O$6-$D$6:O$6)&lt;duree_amenagement))/duree_amenagement</f>
        <v>2369.04761904762</v>
      </c>
      <c r="P57" s="45" t="n">
        <f aca="false">SUMPRODUCT($D51:P51*((P$6-$D$6:P$6)&lt;duree_ligne))/duree_ligne+SUMPRODUCT($D52:P52*((P$6-$D$6:P$6)&lt;duree_amenagement))/duree_amenagement</f>
        <v>2369.04761904762</v>
      </c>
      <c r="Q57" s="45" t="n">
        <f aca="false">SUMPRODUCT($D51:Q51*((Q$6-$D$6:Q$6)&lt;duree_ligne))/duree_ligne+SUMPRODUCT($D52:Q52*((Q$6-$D$6:Q$6)&lt;duree_amenagement))/duree_amenagement</f>
        <v>2369.04761904762</v>
      </c>
      <c r="R57" s="45" t="n">
        <f aca="false">SUMPRODUCT($D51:R51*((R$6-$D$6:R$6)&lt;duree_ligne))/duree_ligne+SUMPRODUCT($D52:R52*((R$6-$D$6:R$6)&lt;duree_amenagement))/duree_amenagement</f>
        <v>2369.04761904762</v>
      </c>
      <c r="S57" s="45" t="n">
        <f aca="false">SUMPRODUCT($D51:S51*((S$6-$D$6:S$6)&lt;duree_ligne))/duree_ligne+SUMPRODUCT($D52:S52*((S$6-$D$6:S$6)&lt;duree_amenagement))/duree_amenagement</f>
        <v>2369.04761904762</v>
      </c>
      <c r="T57" s="45" t="n">
        <f aca="false">SUMPRODUCT($D51:T51*((T$6-$D$6:T$6)&lt;duree_ligne))/duree_ligne+SUMPRODUCT($D52:T52*((T$6-$D$6:T$6)&lt;duree_amenagement))/duree_amenagement</f>
        <v>2369.04761904762</v>
      </c>
      <c r="U57" s="45" t="n">
        <f aca="false">SUMPRODUCT($D51:U51*((U$6-$D$6:U$6)&lt;duree_ligne))/duree_ligne+SUMPRODUCT($D52:U52*((U$6-$D$6:U$6)&lt;duree_amenagement))/duree_amenagement</f>
        <v>4154.76190476191</v>
      </c>
      <c r="V57" s="45" t="n">
        <f aca="false">SUMPRODUCT($D51:V51*((V$6-$D$6:V$6)&lt;duree_ligne))/duree_ligne+SUMPRODUCT($D52:V52*((V$6-$D$6:V$6)&lt;duree_amenagement))/duree_amenagement</f>
        <v>4154.76190476191</v>
      </c>
      <c r="W57" s="45" t="n">
        <f aca="false">SUMPRODUCT($D51:W51*((W$6-$D$6:W$6)&lt;duree_ligne))/duree_ligne+SUMPRODUCT($D52:W52*((W$6-$D$6:W$6)&lt;duree_amenagement))/duree_amenagement</f>
        <v>4154.76190476191</v>
      </c>
      <c r="X57" s="45" t="n">
        <f aca="false">SUMPRODUCT($D51:X51*((X$6-$D$6:X$6)&lt;duree_ligne))/duree_ligne+SUMPRODUCT($D52:X52*((X$6-$D$6:X$6)&lt;duree_amenagement))/duree_amenagement</f>
        <v>4154.76190476191</v>
      </c>
      <c r="Y57" s="45" t="n">
        <f aca="false">SUMPRODUCT($D51:Y51*((Y$6-$D$6:Y$6)&lt;duree_ligne))/duree_ligne+SUMPRODUCT($D52:Y52*((Y$6-$D$6:Y$6)&lt;duree_amenagement))/duree_amenagement</f>
        <v>4154.76190476191</v>
      </c>
      <c r="Z57" s="45" t="n">
        <f aca="false">SUMPRODUCT($D51:Z51*((Z$6-$D$6:Z$6)&lt;duree_ligne))/duree_ligne+SUMPRODUCT($D52:Z52*((Z$6-$D$6:Z$6)&lt;duree_amenagement))/duree_amenagement</f>
        <v>4154.76190476191</v>
      </c>
      <c r="AA57" s="45" t="n">
        <f aca="false">SUMPRODUCT($D51:AA51*((AA$6-$D$6:AA$6)&lt;duree_ligne))/duree_ligne+SUMPRODUCT($D52:AA52*((AA$6-$D$6:AA$6)&lt;duree_amenagement))/duree_amenagement</f>
        <v>4154.76190476191</v>
      </c>
      <c r="AB57" s="45" t="n">
        <f aca="false">SUMPRODUCT($D51:AB51*((AB$6-$D$6:AB$6)&lt;duree_ligne))/duree_ligne+SUMPRODUCT($D52:AB52*((AB$6-$D$6:AB$6)&lt;duree_amenagement))/duree_amenagement</f>
        <v>4154.76190476191</v>
      </c>
      <c r="AC57" s="45" t="n">
        <f aca="false">SUMPRODUCT($D51:AC51*((AC$6-$D$6:AC$6)&lt;duree_ligne))/duree_ligne+SUMPRODUCT($D52:AC52*((AC$6-$D$6:AC$6)&lt;duree_amenagement))/duree_amenagement</f>
        <v>4154.76190476191</v>
      </c>
      <c r="AD57" s="45" t="n">
        <f aca="false">SUMPRODUCT($D51:AD51*((AD$6-$D$6:AD$6)&lt;duree_ligne))/duree_ligne+SUMPRODUCT($D52:AD52*((AD$6-$D$6:AD$6)&lt;duree_amenagement))/duree_amenagement</f>
        <v>4154.76190476191</v>
      </c>
      <c r="AE57" s="45" t="n">
        <f aca="false">SUMPRODUCT($D51:AE51*((AE$6-$D$6:AE$6)&lt;duree_ligne))/duree_ligne+SUMPRODUCT($D52:AE52*((AE$6-$D$6:AE$6)&lt;duree_amenagement))/duree_amenagement</f>
        <v>4154.76190476191</v>
      </c>
      <c r="AF57" s="45" t="n">
        <f aca="false">SUMPRODUCT($D51:AF51*((AF$6-$D$6:AF$6)&lt;duree_ligne))/duree_ligne+SUMPRODUCT($D52:AF52*((AF$6-$D$6:AF$6)&lt;duree_amenagement))/duree_amenagement</f>
        <v>5940.47619047619</v>
      </c>
      <c r="AG57" s="45" t="n">
        <f aca="false">SUMPRODUCT($D51:AG51*((AG$6-$D$6:AG$6)&lt;duree_ligne))/duree_ligne+SUMPRODUCT($D52:AG52*((AG$6-$D$6:AG$6)&lt;duree_amenagement))/duree_amenagement</f>
        <v>5940.47619047619</v>
      </c>
      <c r="AH57" s="45" t="n">
        <f aca="false">SUMPRODUCT($D51:AH51*((AH$6-$D$6:AH$6)&lt;duree_ligne))/duree_ligne+SUMPRODUCT($D52:AH52*((AH$6-$D$6:AH$6)&lt;duree_amenagement))/duree_amenagement</f>
        <v>5940.47619047619</v>
      </c>
      <c r="AI57" s="45" t="n">
        <f aca="false">SUMPRODUCT($D51:AI51*((AI$6-$D$6:AI$6)&lt;duree_ligne))/duree_ligne+SUMPRODUCT($D52:AI52*((AI$6-$D$6:AI$6)&lt;duree_amenagement))/duree_amenagement</f>
        <v>5940.47619047619</v>
      </c>
      <c r="AJ57" s="45" t="n">
        <f aca="false">SUMPRODUCT($D51:AJ51*((AJ$6-$D$6:AJ$6)&lt;duree_ligne))/duree_ligne+SUMPRODUCT($D52:AJ52*((AJ$6-$D$6:AJ$6)&lt;duree_amenagement))/duree_amenagement</f>
        <v>5940.47619047619</v>
      </c>
      <c r="AK57" s="45" t="n">
        <f aca="false">SUMPRODUCT($D51:AK51*((AK$6-$D$6:AK$6)&lt;duree_ligne))/duree_ligne+SUMPRODUCT($D52:AK52*((AK$6-$D$6:AK$6)&lt;duree_amenagement))/duree_amenagement</f>
        <v>5940.47619047619</v>
      </c>
      <c r="AL57" s="45" t="n">
        <f aca="false">SUMPRODUCT($D51:AL51*((AL$6-$D$6:AL$6)&lt;duree_ligne))/duree_ligne+SUMPRODUCT($D52:AL52*((AL$6-$D$6:AL$6)&lt;duree_amenagement))/duree_amenagement</f>
        <v>5940.47619047619</v>
      </c>
      <c r="AM57" s="45" t="n">
        <f aca="false">SUMPRODUCT($D51:AM51*((AM$6-$D$6:AM$6)&lt;duree_ligne))/duree_ligne+SUMPRODUCT($D52:AM52*((AM$6-$D$6:AM$6)&lt;duree_amenagement))/duree_amenagement</f>
        <v>5940.47619047619</v>
      </c>
      <c r="AO57" s="45" t="n">
        <f aca="false">SUMIF($D$4:$AM$4,AO$4,$D57:$AM57)</f>
        <v>28428.5714285714</v>
      </c>
      <c r="AP57" s="45" t="n">
        <f aca="false">SUMIF($D$4:$AM$4,AP$4,$D57:$AM57)</f>
        <v>40928.5714285714</v>
      </c>
      <c r="AQ57" s="45" t="n">
        <f aca="false">SUMIF($D$4:$AM$4,AQ$4,$D57:$AM57)</f>
        <v>64142.8571428571</v>
      </c>
    </row>
    <row r="58" customFormat="false" ht="15" hidden="false" customHeight="false" outlineLevel="0" collapsed="false">
      <c r="A58" s="10" t="s">
        <v>420</v>
      </c>
      <c r="B58" s="13" t="s">
        <v>66</v>
      </c>
      <c r="C58" s="59" t="n">
        <v>0</v>
      </c>
      <c r="D58" s="60" t="n">
        <f aca="false">IF(D54=0,0,MIN(1,D13*taux_perte_a/D54))</f>
        <v>0.004381875</v>
      </c>
      <c r="E58" s="60" t="n">
        <f aca="false">IF(E54=0,0,MIN(1,E13*taux_perte_a/E54))</f>
        <v>0.01311057</v>
      </c>
      <c r="F58" s="60" t="n">
        <f aca="false">IF(F54=0,0,MIN(1,F13*taux_perte_a/F54))</f>
        <v>0.0229151952</v>
      </c>
      <c r="G58" s="60" t="n">
        <f aca="false">IF(G54=0,0,MIN(1,G13*taux_perte_a/G54))</f>
        <v>0.032596011111168</v>
      </c>
      <c r="H58" s="60" t="n">
        <f aca="false">IF(H54=0,0,MIN(1,H13*taux_perte_a/H54))</f>
        <v>0.0429725295817574</v>
      </c>
      <c r="I58" s="60" t="n">
        <f aca="false">IF(I54=0,0,MIN(1,I13*taux_perte_a/I54))</f>
        <v>0.0535714285714286</v>
      </c>
      <c r="J58" s="60" t="n">
        <f aca="false">IF(J54=0,0,MIN(1,J13*taux_perte_a/J54))</f>
        <v>0.0535714285714286</v>
      </c>
      <c r="K58" s="60" t="n">
        <f aca="false">IF(K54=0,0,MIN(1,K13*taux_perte_a/K54))</f>
        <v>0.0469097312968071</v>
      </c>
      <c r="L58" s="60" t="n">
        <f aca="false">IF(L54=0,0,MIN(1,L13*taux_perte_a/L54))</f>
        <v>0.0535714285714286</v>
      </c>
      <c r="M58" s="60" t="n">
        <f aca="false">IF(M54=0,0,MIN(1,M13*taux_perte_a/M54))</f>
        <v>0.0535714285714286</v>
      </c>
      <c r="N58" s="60" t="n">
        <f aca="false">IF(N54=0,0,MIN(1,N13*taux_perte_a/N54))</f>
        <v>0.0535714285714286</v>
      </c>
      <c r="O58" s="60" t="n">
        <f aca="false">IF(O54=0,0,MIN(1,O13*taux_perte_a/O54))</f>
        <v>0.0535714285714286</v>
      </c>
      <c r="P58" s="60" t="n">
        <f aca="false">IF(P54=0,0,MIN(1,P13*taux_perte_a/P54))</f>
        <v>0.0535714285714286</v>
      </c>
      <c r="Q58" s="60" t="n">
        <f aca="false">IF(Q54=0,0,MIN(1,Q13*taux_perte_a/Q54))</f>
        <v>0.0535714285714286</v>
      </c>
      <c r="R58" s="60" t="n">
        <f aca="false">IF(R54=0,0,MIN(1,R13*taux_perte_a/R54))</f>
        <v>0.0535714285714286</v>
      </c>
      <c r="S58" s="60" t="n">
        <f aca="false">IF(S54=0,0,MIN(1,S13*taux_perte_a/S54))</f>
        <v>0.0535714285714286</v>
      </c>
      <c r="T58" s="60" t="n">
        <f aca="false">IF(T54=0,0,MIN(1,T13*taux_perte_a/T54))</f>
        <v>0.0535714285714286</v>
      </c>
      <c r="U58" s="60" t="n">
        <f aca="false">IF(U54=0,0,MIN(1,U13*taux_perte_a/U54))</f>
        <v>0.0535714285714286</v>
      </c>
      <c r="V58" s="60" t="n">
        <f aca="false">IF(V54=0,0,MIN(1,V13*taux_perte_a/V54))</f>
        <v>0.0535714285714286</v>
      </c>
      <c r="W58" s="60" t="n">
        <f aca="false">IF(W54=0,0,MIN(1,W13*taux_perte_a/W54))</f>
        <v>0.0439462974170993</v>
      </c>
      <c r="X58" s="60" t="n">
        <f aca="false">IF(X54=0,0,MIN(1,X13*taux_perte_a/X54))</f>
        <v>0.0535714285714286</v>
      </c>
      <c r="Y58" s="60" t="n">
        <f aca="false">IF(Y54=0,0,MIN(1,Y13*taux_perte_a/Y54))</f>
        <v>0.0535714285714286</v>
      </c>
      <c r="Z58" s="60" t="n">
        <f aca="false">IF(Z54=0,0,MIN(1,Z13*taux_perte_a/Z54))</f>
        <v>0.0535714285714286</v>
      </c>
      <c r="AA58" s="60" t="n">
        <f aca="false">IF(AA54=0,0,MIN(1,AA13*taux_perte_a/AA54))</f>
        <v>0.0535714285714286</v>
      </c>
      <c r="AB58" s="60" t="n">
        <f aca="false">IF(AB54=0,0,MIN(1,AB13*taux_perte_a/AB54))</f>
        <v>0.0532026609066553</v>
      </c>
      <c r="AC58" s="60" t="n">
        <f aca="false">IF(AC54=0,0,MIN(1,AC13*taux_perte_a/AC54))</f>
        <v>0.0535714285714286</v>
      </c>
      <c r="AD58" s="60" t="n">
        <f aca="false">IF(AD54=0,0,MIN(1,AD13*taux_perte_a/AD54))</f>
        <v>0.0535714285714286</v>
      </c>
      <c r="AE58" s="60" t="n">
        <f aca="false">IF(AE54=0,0,MIN(1,AE13*taux_perte_a/AE54))</f>
        <v>0.0535714285714286</v>
      </c>
      <c r="AF58" s="60" t="n">
        <f aca="false">IF(AF54=0,0,MIN(1,AF13*taux_perte_a/AF54))</f>
        <v>0.0535714285714286</v>
      </c>
      <c r="AG58" s="60" t="n">
        <f aca="false">IF(AG54=0,0,MIN(1,AG13*taux_perte_a/AG54))</f>
        <v>0.0535714285714286</v>
      </c>
      <c r="AH58" s="60" t="n">
        <f aca="false">IF(AH54=0,0,MIN(1,AH13*taux_perte_a/AH54))</f>
        <v>0.0535714285714286</v>
      </c>
      <c r="AI58" s="60" t="n">
        <f aca="false">IF(AI54=0,0,MIN(1,AI13*taux_perte_a/AI54))</f>
        <v>0.0428158953884268</v>
      </c>
      <c r="AJ58" s="60" t="n">
        <f aca="false">IF(AJ54=0,0,MIN(1,AJ13*taux_perte_a/AJ54))</f>
        <v>0.0535714285714286</v>
      </c>
      <c r="AK58" s="60" t="n">
        <f aca="false">IF(AK54=0,0,MIN(1,AK13*taux_perte_a/AK54))</f>
        <v>0.0535714285714286</v>
      </c>
      <c r="AL58" s="60" t="n">
        <f aca="false">IF(AL54=0,0,MIN(1,AL13*taux_perte_a/AL54))</f>
        <v>0.0535714285714286</v>
      </c>
      <c r="AM58" s="60" t="n">
        <f aca="false">IF(AM54=0,0,MIN(1,AM13*taux_perte_a/AM54))</f>
        <v>0.0535714285714286</v>
      </c>
    </row>
    <row r="59" customFormat="false" ht="15" hidden="false" customHeight="false" outlineLevel="0" collapsed="false">
      <c r="A59" s="10" t="s">
        <v>421</v>
      </c>
      <c r="B59" s="13" t="s">
        <v>390</v>
      </c>
      <c r="C59" s="56" t="n">
        <v>1</v>
      </c>
      <c r="D59" s="57" t="n">
        <f aca="false">C59*(1-D58)</f>
        <v>0.995618125</v>
      </c>
      <c r="E59" s="57" t="n">
        <f aca="false">D59*(1-E58)</f>
        <v>0.982565003878919</v>
      </c>
      <c r="F59" s="57" t="n">
        <f aca="false">E59*(1-F58)</f>
        <v>0.960049335018345</v>
      </c>
      <c r="G59" s="57" t="n">
        <f aca="false">F59*(1-G58)</f>
        <v>0.928755556226817</v>
      </c>
      <c r="H59" s="57" t="n">
        <f aca="false">G59*(1-H58)</f>
        <v>0.888844580612639</v>
      </c>
      <c r="I59" s="57" t="n">
        <f aca="false">H59*(1-I58)</f>
        <v>0.841227906651247</v>
      </c>
      <c r="J59" s="57" t="n">
        <f aca="false">I59*(1-J58)</f>
        <v>0.796162125937788</v>
      </c>
      <c r="K59" s="57" t="n">
        <f aca="false">J59*(1-K58)</f>
        <v>0.758814374541351</v>
      </c>
      <c r="L59" s="57" t="n">
        <f aca="false">K59*(1-L58)</f>
        <v>0.718163604476636</v>
      </c>
      <c r="M59" s="57" t="n">
        <f aca="false">L59*(1-M58)</f>
        <v>0.679690554236816</v>
      </c>
      <c r="N59" s="57" t="n">
        <f aca="false">M59*(1-N58)</f>
        <v>0.643278560259844</v>
      </c>
      <c r="O59" s="57" t="n">
        <f aca="false">N59*(1-O58)</f>
        <v>0.608817208817352</v>
      </c>
      <c r="P59" s="57" t="n">
        <f aca="false">O59*(1-P58)</f>
        <v>0.576202001202137</v>
      </c>
      <c r="Q59" s="57" t="n">
        <f aca="false">P59*(1-Q58)</f>
        <v>0.545334036852022</v>
      </c>
      <c r="R59" s="57" t="n">
        <f aca="false">Q59*(1-R58)</f>
        <v>0.516119713449235</v>
      </c>
      <c r="S59" s="57" t="n">
        <f aca="false">R59*(1-S58)</f>
        <v>0.488470443085883</v>
      </c>
      <c r="T59" s="57" t="n">
        <f aca="false">S59*(1-T58)</f>
        <v>0.462302383634854</v>
      </c>
      <c r="U59" s="57" t="n">
        <f aca="false">T59*(1-U58)</f>
        <v>0.437536184511558</v>
      </c>
      <c r="V59" s="57" t="n">
        <f aca="false">U59*(1-V58)</f>
        <v>0.414096746055582</v>
      </c>
      <c r="W59" s="57" t="n">
        <f aca="false">V59*(1-W58)</f>
        <v>0.39589872729397</v>
      </c>
      <c r="X59" s="57" t="n">
        <f aca="false">W59*(1-X58)</f>
        <v>0.374689866903222</v>
      </c>
      <c r="Y59" s="57" t="n">
        <f aca="false">X59*(1-Y58)</f>
        <v>0.354617195461978</v>
      </c>
      <c r="Z59" s="57" t="n">
        <f aca="false">Y59*(1-Z58)</f>
        <v>0.335619845705086</v>
      </c>
      <c r="AA59" s="57" t="n">
        <f aca="false">Z59*(1-AA58)</f>
        <v>0.317640211113742</v>
      </c>
      <c r="AB59" s="57" t="n">
        <f aca="false">AA59*(1-AB58)</f>
        <v>0.300740906671539</v>
      </c>
      <c r="AC59" s="57" t="n">
        <f aca="false">AB59*(1-AC58)</f>
        <v>0.284629786671278</v>
      </c>
      <c r="AD59" s="57" t="n">
        <f aca="false">AC59*(1-AD58)</f>
        <v>0.269381762385317</v>
      </c>
      <c r="AE59" s="57" t="n">
        <f aca="false">AD59*(1-AE58)</f>
        <v>0.254950596543247</v>
      </c>
      <c r="AF59" s="57" t="n">
        <f aca="false">AE59*(1-AF58)</f>
        <v>0.241292528871287</v>
      </c>
      <c r="AG59" s="57" t="n">
        <f aca="false">AF59*(1-AG58)</f>
        <v>0.228366143396039</v>
      </c>
      <c r="AH59" s="57" t="n">
        <f aca="false">AG59*(1-AH58)</f>
        <v>0.216132242856966</v>
      </c>
      <c r="AI59" s="57" t="n">
        <f aca="false">AH59*(1-AI58)</f>
        <v>0.206878347356736</v>
      </c>
      <c r="AJ59" s="57" t="n">
        <f aca="false">AI59*(1-AJ58)</f>
        <v>0.195795578748339</v>
      </c>
      <c r="AK59" s="57" t="n">
        <f aca="false">AJ59*(1-AK58)</f>
        <v>0.185306529886821</v>
      </c>
      <c r="AL59" s="57" t="n">
        <f aca="false">AK59*(1-AL58)</f>
        <v>0.17537939435717</v>
      </c>
      <c r="AM59" s="57" t="n">
        <f aca="false">AL59*(1-AM58)</f>
        <v>0.165984069659464</v>
      </c>
    </row>
    <row r="60" customFormat="false" ht="15" hidden="false" customHeight="false" outlineLevel="0" collapsed="false">
      <c r="A60" s="10" t="s">
        <v>422</v>
      </c>
      <c r="B60" s="13" t="s">
        <v>161</v>
      </c>
      <c r="C60" s="50" t="n">
        <v>0</v>
      </c>
      <c r="D60" s="45" t="n">
        <f aca="false">IF(D59=0,0,D55/D59)</f>
        <v>17677.4604218862</v>
      </c>
      <c r="E60" s="45" t="n">
        <f aca="false">IF(E59=0,0,E55/E59)</f>
        <v>0</v>
      </c>
      <c r="F60" s="45" t="n">
        <f aca="false">IF(F59=0,0,F55/F59)</f>
        <v>0</v>
      </c>
      <c r="G60" s="45" t="n">
        <f aca="false">IF(G59=0,0,G55/G59)</f>
        <v>0</v>
      </c>
      <c r="H60" s="45" t="n">
        <f aca="false">IF(H59=0,0,H55/H59)</f>
        <v>0</v>
      </c>
      <c r="I60" s="45" t="n">
        <f aca="false">IF(I59=0,0,I55/I59)</f>
        <v>93.0598926621056</v>
      </c>
      <c r="J60" s="45" t="n">
        <f aca="false">IF(J59=0,0,J55/J59)</f>
        <v>3207.5059681183</v>
      </c>
      <c r="K60" s="45" t="n">
        <f aca="false">IF(K59=0,0,K55/K59)</f>
        <v>0</v>
      </c>
      <c r="L60" s="45" t="n">
        <f aca="false">IF(L59=0,0,L55/L59)</f>
        <v>8377.80847091976</v>
      </c>
      <c r="M60" s="45" t="n">
        <f aca="false">IF(M59=0,0,M55/M59)</f>
        <v>3554.08618684914</v>
      </c>
      <c r="N60" s="45" t="n">
        <f aca="false">IF(N59=0,0,N55/N59)</f>
        <v>3067.41500750279</v>
      </c>
      <c r="O60" s="45" t="n">
        <f aca="false">IF(O59=0,0,O55/O59)</f>
        <v>5673.43091085175</v>
      </c>
      <c r="P60" s="45" t="n">
        <f aca="false">IF(P59=0,0,P55/P59)</f>
        <v>3053.86810645251</v>
      </c>
      <c r="Q60" s="45" t="n">
        <f aca="false">IF(Q59=0,0,Q55/Q59)</f>
        <v>10234.5911514164</v>
      </c>
      <c r="R60" s="45" t="n">
        <f aca="false">IF(R59=0,0,R55/R59)</f>
        <v>15586.6268421687</v>
      </c>
      <c r="S60" s="45" t="n">
        <f aca="false">IF(S59=0,0,S55/S59)</f>
        <v>14126.1432786349</v>
      </c>
      <c r="T60" s="45" t="n">
        <f aca="false">IF(T59=0,0,T55/T59)</f>
        <v>16656.008677096</v>
      </c>
      <c r="U60" s="45" t="n">
        <f aca="false">IF(U59=0,0,U55/U59)</f>
        <v>18272.0193650398</v>
      </c>
      <c r="V60" s="45" t="n">
        <f aca="false">IF(V59=0,0,V55/V59)</f>
        <v>9430.15783708472</v>
      </c>
      <c r="W60" s="45" t="n">
        <f aca="false">IF(W59=0,0,W55/W59)</f>
        <v>0</v>
      </c>
      <c r="X60" s="45" t="n">
        <f aca="false">IF(X59=0,0,X55/X59)</f>
        <v>31252.604480435</v>
      </c>
      <c r="Y60" s="45" t="n">
        <f aca="false">IF(Y59=0,0,Y55/Y59)</f>
        <v>11255.6470272925</v>
      </c>
      <c r="Z60" s="45" t="n">
        <f aca="false">IF(Z59=0,0,Z55/Z59)</f>
        <v>8268.87736635068</v>
      </c>
      <c r="AA60" s="45" t="n">
        <f aca="false">IF(AA59=0,0,AA55/AA59)</f>
        <v>23399.8306709322</v>
      </c>
      <c r="AB60" s="45" t="n">
        <f aca="false">IF(AB59=0,0,AB55/AB59)</f>
        <v>0</v>
      </c>
      <c r="AC60" s="45" t="n">
        <f aca="false">IF(AC59=0,0,AC55/AC59)</f>
        <v>24368.1324063887</v>
      </c>
      <c r="AD60" s="45" t="n">
        <f aca="false">IF(AD59=0,0,AD55/AD59)</f>
        <v>51472.993715925</v>
      </c>
      <c r="AE60" s="45" t="n">
        <f aca="false">IF(AE59=0,0,AE55/AE59)</f>
        <v>41567.3680515713</v>
      </c>
      <c r="AF60" s="45" t="n">
        <f aca="false">IF(AF59=0,0,AF55/AF59)</f>
        <v>50814.0796087783</v>
      </c>
      <c r="AG60" s="45" t="n">
        <f aca="false">IF(AG59=0,0,AG55/AG59)</f>
        <v>55459.6837698136</v>
      </c>
      <c r="AH60" s="45" t="n">
        <f aca="false">IF(AH59=0,0,AH55/AH59)</f>
        <v>16925.5507889305</v>
      </c>
      <c r="AI60" s="45" t="n">
        <f aca="false">IF(AI59=0,0,AI55/AI59)</f>
        <v>0</v>
      </c>
      <c r="AJ60" s="45" t="n">
        <f aca="false">IF(AJ59=0,0,AJ55/AJ59)</f>
        <v>82040.3800766552</v>
      </c>
      <c r="AK60" s="45" t="n">
        <f aca="false">IF(AK59=0,0,AK55/AK59)</f>
        <v>23436.3344264777</v>
      </c>
      <c r="AL60" s="45" t="n">
        <f aca="false">IF(AL59=0,0,AL55/AL59)</f>
        <v>12021.7408645915</v>
      </c>
      <c r="AM60" s="45" t="n">
        <f aca="false">IF(AM59=0,0,AM55/AM59)</f>
        <v>68248.1777923306</v>
      </c>
    </row>
    <row r="61" customFormat="false" ht="15" hidden="false" customHeight="false" outlineLevel="0" collapsed="false">
      <c r="A61" s="10" t="s">
        <v>423</v>
      </c>
      <c r="B61" s="13" t="s">
        <v>161</v>
      </c>
      <c r="C61" s="50" t="n">
        <v>0</v>
      </c>
      <c r="D61" s="45" t="n">
        <f aca="false">D59*SUMPRODUCT($D60:D60*((D$6-$D$6:D$6)+1&lt;duree_contenants)*(1-((D$6-$D$6:D$6)+1)/duree_contenants))</f>
        <v>17111.1111111111</v>
      </c>
      <c r="E61" s="45" t="n">
        <f aca="false">E59*SUMPRODUCT($D60:E60*((E$6-$D$6:E$6)+1&lt;duree_contenants)*(1-((E$6-$D$6:E$6)+1)/duree_contenants))</f>
        <v>16404.2954142222</v>
      </c>
      <c r="F61" s="45" t="n">
        <f aca="false">F59*SUMPRODUCT($D60:F60*((F$6-$D$6:F$6)+1&lt;duree_contenants)*(1-((F$6-$D$6:F$6)+1)/duree_contenants))</f>
        <v>15556.9646126078</v>
      </c>
      <c r="G61" s="45" t="n">
        <f aca="false">G59*SUMPRODUCT($D60:G60*((G$6-$D$6:G$6)+1&lt;duree_contenants)*(1-((G$6-$D$6:G$6)+1)/duree_contenants))</f>
        <v>14593.8129660502</v>
      </c>
      <c r="H61" s="45" t="n">
        <f aca="false">H59*SUMPRODUCT($D60:H60*((H$6-$D$6:H$6)+1&lt;duree_contenants)*(1-((H$6-$D$6:H$6)+1)/duree_contenants))</f>
        <v>13530.2211595729</v>
      </c>
      <c r="I61" s="45" t="n">
        <f aca="false">I59*SUMPRODUCT($D60:I60*((I$6-$D$6:I$6)+1&lt;duree_contenants)*(1-((I$6-$D$6:I$6)+1)/duree_contenants))</f>
        <v>12468.4208617448</v>
      </c>
      <c r="J61" s="45" t="n">
        <f aca="false">J59*SUMPRODUCT($D60:J60*((J$6-$D$6:J$6)+1&lt;duree_contenants)*(1-((J$6-$D$6:J$6)+1)/duree_contenants))</f>
        <v>13890.2225701536</v>
      </c>
      <c r="K61" s="45" t="n">
        <f aca="false">K59*SUMPRODUCT($D60:K60*((K$6-$D$6:K$6)+1&lt;duree_contenants)*(1-((K$6-$D$6:K$6)+1)/duree_contenants))</f>
        <v>12796.4574091572</v>
      </c>
      <c r="L61" s="45" t="n">
        <f aca="false">L59*SUMPRODUCT($D60:L60*((L$6-$D$6:L$6)+1&lt;duree_contenants)*(1-((L$6-$D$6:L$6)+1)/duree_contenants))</f>
        <v>17541.9508092121</v>
      </c>
      <c r="M61" s="45" t="n">
        <f aca="false">M59*SUMPRODUCT($D60:M60*((M$6-$D$6:M$6)+1&lt;duree_contenants)*(1-((M$6-$D$6:M$6)+1)/duree_contenants))</f>
        <v>18396.533298914</v>
      </c>
      <c r="N61" s="45" t="n">
        <f aca="false">N59*SUMPRODUCT($D60:N60*((N$6-$D$6:N$6)+1&lt;duree_contenants)*(1-((N$6-$D$6:N$6)+1)/duree_contenants))</f>
        <v>18741.333459337</v>
      </c>
      <c r="O61" s="45" t="n">
        <f aca="false">O59*SUMPRODUCT($D60:O60*((O$6-$D$6:O$6)+1&lt;duree_contenants)*(1-((O$6-$D$6:O$6)+1)/duree_contenants))</f>
        <v>20487.0351679255</v>
      </c>
      <c r="P61" s="45" t="n">
        <f aca="false">P59*SUMPRODUCT($D60:P60*((P$6-$D$6:P$6)+1&lt;duree_contenants)*(1-((P$6-$D$6:P$6)+1)/duree_contenants))</f>
        <v>20433.6353375213</v>
      </c>
      <c r="Q61" s="45" t="n">
        <f aca="false">Q59*SUMPRODUCT($D60:Q60*((Q$6-$D$6:Q$6)+1&lt;duree_contenants)*(1-((Q$6-$D$6:Q$6)+1)/duree_contenants))</f>
        <v>24088.0185997222</v>
      </c>
      <c r="R61" s="45" t="n">
        <f aca="false">R59*SUMPRODUCT($D60:R60*((R$6-$D$6:R$6)+1&lt;duree_contenants)*(1-((R$6-$D$6:R$6)+1)/duree_contenants))</f>
        <v>29831.0493274148</v>
      </c>
      <c r="S61" s="45" t="n">
        <f aca="false">S59*SUMPRODUCT($D60:S60*((S$6-$D$6:S$6)+1&lt;duree_contenants)*(1-((S$6-$D$6:S$6)+1)/duree_contenants))</f>
        <v>33984.5498069528</v>
      </c>
      <c r="T61" s="45" t="n">
        <f aca="false">T59*SUMPRODUCT($D60:T60*((T$6-$D$6:T$6)+1&lt;duree_contenants)*(1-((T$6-$D$6:T$6)+1)/duree_contenants))</f>
        <v>38563.0911001103</v>
      </c>
      <c r="U61" s="45" t="n">
        <f aca="false">U59*SUMPRODUCT($D60:U60*((U$6-$D$6:U$6)+1&lt;duree_contenants)*(1-((U$6-$D$6:U$6)+1)/duree_contenants))</f>
        <v>43038.5312014065</v>
      </c>
      <c r="V61" s="45" t="n">
        <f aca="false">V59*SUMPRODUCT($D60:V60*((V$6-$D$6:V$6)+1&lt;duree_contenants)*(1-((V$6-$D$6:V$6)+1)/duree_contenants))</f>
        <v>43153.9294813875</v>
      </c>
      <c r="W61" s="45" t="n">
        <f aca="false">W59*SUMPRODUCT($D60:W60*((W$6-$D$6:W$6)+1&lt;duree_contenants)*(1-((W$6-$D$6:W$6)+1)/duree_contenants))</f>
        <v>39838.7249809053</v>
      </c>
      <c r="X61" s="45" t="n">
        <f aca="false">X59*SUMPRODUCT($D60:X60*((X$6-$D$6:X$6)+1&lt;duree_contenants)*(1-((X$6-$D$6:X$6)+1)/duree_contenants))</f>
        <v>47746.518390489</v>
      </c>
      <c r="Y61" s="45" t="n">
        <f aca="false">Y59*SUMPRODUCT($D60:Y60*((Y$6-$D$6:Y$6)+1&lt;duree_contenants)*(1-((Y$6-$D$6:Y$6)+1)/duree_contenants))</f>
        <v>47490.5766756514</v>
      </c>
      <c r="Z61" s="45" t="n">
        <f aca="false">Z59*SUMPRODUCT($D60:Z60*((Z$6-$D$6:Z$6)+1&lt;duree_contenants)*(1-((Z$6-$D$6:Z$6)+1)/duree_contenants))</f>
        <v>46045.5216082366</v>
      </c>
      <c r="AA61" s="45" t="n">
        <f aca="false">AA59*SUMPRODUCT($D60:AA60*((AA$6-$D$6:AA$6)+1&lt;duree_contenants)*(1-((AA$6-$D$6:AA$6)+1)/duree_contenants))</f>
        <v>49218.7353192348</v>
      </c>
      <c r="AB61" s="45" t="n">
        <f aca="false">AB59*SUMPRODUCT($D60:AB60*((AB$6-$D$6:AB$6)+1&lt;duree_contenants)*(1-((AB$6-$D$6:AB$6)+1)/duree_contenants))</f>
        <v>44902.7597113651</v>
      </c>
      <c r="AC61" s="45" t="n">
        <f aca="false">AC59*SUMPRODUCT($D60:AC60*((AC$6-$D$6:AC$6)+1&lt;duree_contenants)*(1-((AC$6-$D$6:AC$6)+1)/duree_contenants))</f>
        <v>47634.0119131822</v>
      </c>
      <c r="AD61" s="45" t="n">
        <f aca="false">AD59*SUMPRODUCT($D60:AD60*((AD$6-$D$6:AD$6)+1&lt;duree_contenants)*(1-((AD$6-$D$6:AD$6)+1)/duree_contenants))</f>
        <v>56860.1554274327</v>
      </c>
      <c r="AE61" s="45" t="n">
        <f aca="false">AE59*SUMPRODUCT($D60:AE60*((AE$6-$D$6:AE$6)+1&lt;duree_contenants)*(1-((AE$6-$D$6:AE$6)+1)/duree_contenants))</f>
        <v>62141.2551592769</v>
      </c>
      <c r="AF61" s="45" t="n">
        <f aca="false">AF59*SUMPRODUCT($D60:AF60*((AF$6-$D$6:AF$6)+1&lt;duree_contenants)*(1-((AF$6-$D$6:AF$6)+1)/duree_contenants))</f>
        <v>68583.9174102713</v>
      </c>
      <c r="AG61" s="45" t="n">
        <f aca="false">AG59*SUMPRODUCT($D60:AG60*((AG$6-$D$6:AG$6)+1&lt;duree_contenants)*(1-((AG$6-$D$6:AG$6)+1)/duree_contenants))</f>
        <v>74867.0453398232</v>
      </c>
      <c r="AH61" s="45" t="n">
        <f aca="false">AH59*SUMPRODUCT($D60:AH60*((AH$6-$D$6:AH$6)+1&lt;duree_contenants)*(1-((AH$6-$D$6:AH$6)+1)/duree_contenants))</f>
        <v>71850.0680796268</v>
      </c>
      <c r="AI61" s="45" t="n">
        <f aca="false">AI59*SUMPRODUCT($D60:AI60*((AI$6-$D$6:AI$6)+1&lt;duree_contenants)*(1-((AI$6-$D$6:AI$6)+1)/duree_contenants))</f>
        <v>66223.4218082474</v>
      </c>
      <c r="AJ61" s="45" t="n">
        <f aca="false">AJ59*SUMPRODUCT($D60:AJ60*((AJ$6-$D$6:AJ$6)+1&lt;duree_contenants)*(1-((AJ$6-$D$6:AJ$6)+1)/duree_contenants))</f>
        <v>75878.9868399534</v>
      </c>
      <c r="AK61" s="45" t="n">
        <f aca="false">AK59*SUMPRODUCT($D60:AK60*((AK$6-$D$6:AK$6)+1&lt;duree_contenants)*(1-((AK$6-$D$6:AK$6)+1)/duree_contenants))</f>
        <v>73329.6239745886</v>
      </c>
      <c r="AL61" s="45" t="n">
        <f aca="false">AL59*SUMPRODUCT($D60:AL60*((AL$6-$D$6:AL$6)+1&lt;duree_contenants)*(1-((AL$6-$D$6:AL$6)+1)/duree_contenants))</f>
        <v>68775.1919633204</v>
      </c>
      <c r="AM61" s="45" t="n">
        <f aca="false">AM59*SUMPRODUCT($D60:AM60*((AM$6-$D$6:AM$6)+1&lt;duree_contenants)*(1-((AM$6-$D$6:AM$6)+1)/duree_contenants))</f>
        <v>73516.3093654603</v>
      </c>
      <c r="AO61" s="45" t="n">
        <f aca="false">INDEX($D61:$AM61,(AO$4-annee_debut)*12+12)</f>
        <v>20487.0351679255</v>
      </c>
      <c r="AP61" s="45" t="n">
        <f aca="false">INDEX($D61:$AM61,(AP$4-annee_debut)*12+12)</f>
        <v>49218.7353192348</v>
      </c>
      <c r="AQ61" s="45" t="n">
        <f aca="false">INDEX($D61:$AM61,(AQ$4-annee_debut)*12+12)</f>
        <v>73516.3093654603</v>
      </c>
    </row>
    <row r="62" customFormat="false" ht="15" hidden="false" customHeight="false" outlineLevel="0" collapsed="false">
      <c r="A62" s="10" t="s">
        <v>270</v>
      </c>
      <c r="B62" s="13" t="s">
        <v>161</v>
      </c>
      <c r="C62" s="50" t="n">
        <v>0</v>
      </c>
      <c r="D62" s="45" t="n">
        <f aca="false">D58*C61</f>
        <v>0</v>
      </c>
      <c r="E62" s="45" t="n">
        <f aca="false">E58*D61</f>
        <v>224.33642</v>
      </c>
      <c r="F62" s="45" t="n">
        <f aca="false">F58*E61</f>
        <v>375.907631535367</v>
      </c>
      <c r="G62" s="45" t="n">
        <f aca="false">G58*F61</f>
        <v>507.094991368612</v>
      </c>
      <c r="H62" s="45" t="n">
        <f aca="false">H58*G61</f>
        <v>627.133059394226</v>
      </c>
      <c r="I62" s="45" t="n">
        <f aca="false">I58*H61</f>
        <v>724.833276405693</v>
      </c>
      <c r="J62" s="45" t="n">
        <f aca="false">J58*I61</f>
        <v>667.951117593473</v>
      </c>
      <c r="K62" s="45" t="n">
        <f aca="false">K58*J61</f>
        <v>651.58660841875</v>
      </c>
      <c r="L62" s="45" t="n">
        <f aca="false">L58*K61</f>
        <v>685.524504061995</v>
      </c>
      <c r="M62" s="45" t="n">
        <f aca="false">M58*L61</f>
        <v>939.74736477922</v>
      </c>
      <c r="N62" s="45" t="n">
        <f aca="false">N58*M61</f>
        <v>985.528569584681</v>
      </c>
      <c r="O62" s="45" t="n">
        <f aca="false">O58*N61</f>
        <v>1004.0000067502</v>
      </c>
      <c r="P62" s="45" t="n">
        <f aca="false">P58*O61</f>
        <v>1097.51974113887</v>
      </c>
      <c r="Q62" s="45" t="n">
        <f aca="false">Q58*P61</f>
        <v>1094.65903593864</v>
      </c>
      <c r="R62" s="45" t="n">
        <f aca="false">R58*Q61</f>
        <v>1290.42956784226</v>
      </c>
      <c r="S62" s="45" t="n">
        <f aca="false">S58*R61</f>
        <v>1598.09192825437</v>
      </c>
      <c r="T62" s="45" t="n">
        <f aca="false">T58*S61</f>
        <v>1820.60088251533</v>
      </c>
      <c r="U62" s="45" t="n">
        <f aca="false">U58*T61</f>
        <v>2065.87988036305</v>
      </c>
      <c r="V62" s="45" t="n">
        <f aca="false">V58*U61</f>
        <v>2305.63560007535</v>
      </c>
      <c r="W62" s="45" t="n">
        <f aca="false">W58*V61</f>
        <v>1896.45541970558</v>
      </c>
      <c r="X62" s="45" t="n">
        <f aca="false">X58*W61</f>
        <v>2134.21740969136</v>
      </c>
      <c r="Y62" s="45" t="n">
        <f aca="false">Y58*X61</f>
        <v>2557.84919949048</v>
      </c>
      <c r="Z62" s="45" t="n">
        <f aca="false">Z58*Y61</f>
        <v>2544.13803619561</v>
      </c>
      <c r="AA62" s="45" t="n">
        <f aca="false">AA58*Z61</f>
        <v>2466.72437186982</v>
      </c>
      <c r="AB62" s="45" t="n">
        <f aca="false">AB58*AA61</f>
        <v>2618.56768544367</v>
      </c>
      <c r="AC62" s="45" t="n">
        <f aca="false">AC58*AB61</f>
        <v>2405.50498453742</v>
      </c>
      <c r="AD62" s="45" t="n">
        <f aca="false">AD58*AC61</f>
        <v>2551.82206677762</v>
      </c>
      <c r="AE62" s="45" t="n">
        <f aca="false">AE58*AD61</f>
        <v>3046.07975504104</v>
      </c>
      <c r="AF62" s="45" t="n">
        <f aca="false">AF58*AE61</f>
        <v>3328.99581210412</v>
      </c>
      <c r="AG62" s="45" t="n">
        <f aca="false">AG58*AF61</f>
        <v>3674.13843269311</v>
      </c>
      <c r="AH62" s="45" t="n">
        <f aca="false">AH58*AG61</f>
        <v>4010.73457177625</v>
      </c>
      <c r="AI62" s="45" t="n">
        <f aca="false">AI58*AH61</f>
        <v>3076.32499854864</v>
      </c>
      <c r="AJ62" s="45" t="n">
        <f aca="false">AJ58*AI61</f>
        <v>3547.68331115611</v>
      </c>
      <c r="AK62" s="45" t="n">
        <f aca="false">AK58*AJ61</f>
        <v>4064.94572356893</v>
      </c>
      <c r="AL62" s="45" t="n">
        <f aca="false">AL58*AK61</f>
        <v>3928.37271292439</v>
      </c>
      <c r="AM62" s="45" t="n">
        <f aca="false">AM58*AL61</f>
        <v>3684.38528374931</v>
      </c>
      <c r="AO62" s="45" t="n">
        <f aca="false">SUMIF($D$4:$AM$4,AO$4,$D62:$AM62)</f>
        <v>7393.64354989221</v>
      </c>
      <c r="AP62" s="45" t="n">
        <f aca="false">SUMIF($D$4:$AM$4,AP$4,$D62:$AM62)</f>
        <v>22872.2010730807</v>
      </c>
      <c r="AQ62" s="45" t="n">
        <f aca="false">SUMIF($D$4:$AM$4,AQ$4,$D62:$AM62)</f>
        <v>39937.5553383206</v>
      </c>
    </row>
    <row r="63" customFormat="false" ht="15" hidden="false" customHeight="false" outlineLevel="0" collapsed="false">
      <c r="A63" s="10" t="s">
        <v>424</v>
      </c>
      <c r="B63" s="13" t="s">
        <v>161</v>
      </c>
      <c r="C63" s="50" t="n">
        <v>0</v>
      </c>
      <c r="D63" s="45" t="n">
        <f aca="false">C61-D62+D55-D61</f>
        <v>488.888888888891</v>
      </c>
      <c r="E63" s="45" t="n">
        <f aca="false">D61-E62+E55-E61</f>
        <v>482.479276888887</v>
      </c>
      <c r="F63" s="45" t="n">
        <f aca="false">E61-F62+F55-F61</f>
        <v>471.423170079024</v>
      </c>
      <c r="G63" s="45" t="n">
        <f aca="false">F61-G62+G55-G61</f>
        <v>456.056655189068</v>
      </c>
      <c r="H63" s="45" t="n">
        <f aca="false">G61-H62+H55-H61</f>
        <v>436.458747082997</v>
      </c>
      <c r="I63" s="45" t="n">
        <f aca="false">H61-I62+I55-I61</f>
        <v>415.251600119746</v>
      </c>
      <c r="J63" s="45" t="n">
        <f aca="false">I61-J62+J55-J61</f>
        <v>463.941944532962</v>
      </c>
      <c r="K63" s="45" t="n">
        <f aca="false">J61-K62+K55-K61</f>
        <v>442.178552577601</v>
      </c>
      <c r="L63" s="45" t="n">
        <f aca="false">K61-L62+L55-L61</f>
        <v>585.61922497378</v>
      </c>
      <c r="M63" s="45" t="n">
        <f aca="false">L61-M62+M55-M61</f>
        <v>621.348955663732</v>
      </c>
      <c r="N63" s="45" t="n">
        <f aca="false">M61-N62+N55-N61</f>
        <v>642.873579738185</v>
      </c>
      <c r="O63" s="45" t="n">
        <f aca="false">N61-O62+O55-O61</f>
        <v>704.380656224188</v>
      </c>
      <c r="P63" s="45" t="n">
        <f aca="false">O61-P62+P55-P61</f>
        <v>715.525003610663</v>
      </c>
      <c r="Q63" s="45" t="n">
        <f aca="false">P61-Q62+Q55-Q61</f>
        <v>832.228609992326</v>
      </c>
      <c r="R63" s="45" t="n">
        <f aca="false">Q61-R62+R55-R61</f>
        <v>1011.10508388537</v>
      </c>
      <c r="S63" s="45" t="n">
        <f aca="false">R61-S62+S55-S61</f>
        <v>1148.61105861716</v>
      </c>
      <c r="T63" s="45" t="n">
        <f aca="false">S61-T62+T55-T61</f>
        <v>1300.97033759145</v>
      </c>
      <c r="U63" s="45" t="n">
        <f aca="false">T61-U62+U55-U61</f>
        <v>1453.34965464153</v>
      </c>
      <c r="V63" s="45" t="n">
        <f aca="false">U61-V62+V55-V61</f>
        <v>1483.96379507101</v>
      </c>
      <c r="W63" s="45" t="n">
        <f aca="false">V61-W62+W55-W61</f>
        <v>1418.74908077661</v>
      </c>
      <c r="X63" s="45" t="n">
        <f aca="false">W61-X62+X55-X61</f>
        <v>1668.02339387816</v>
      </c>
      <c r="Y63" s="45" t="n">
        <f aca="false">X61-Y62+Y55-Y61</f>
        <v>1689.53849727555</v>
      </c>
      <c r="Z63" s="45" t="n">
        <f aca="false">Y61-Z62+Z55-Z61</f>
        <v>1676.1163770681</v>
      </c>
      <c r="AA63" s="45" t="n">
        <f aca="false">Z61-AA62+AA55-AA61</f>
        <v>1792.78907147273</v>
      </c>
      <c r="AB63" s="45" t="n">
        <f aca="false">AA61-AB62+AB55-AB61</f>
        <v>1697.407922426</v>
      </c>
      <c r="AC63" s="45" t="n">
        <f aca="false">AB61-AC62+AC55-AC61</f>
        <v>1799.13914205341</v>
      </c>
      <c r="AD63" s="45" t="n">
        <f aca="false">AC61-AD62+AD55-AD61</f>
        <v>2087.92018141606</v>
      </c>
      <c r="AE63" s="45" t="n">
        <f aca="false">AD61-AE62+AE55-AE61</f>
        <v>2270.44579459562</v>
      </c>
      <c r="AF63" s="45" t="n">
        <f aca="false">AE61-AF62+AF55-AF61</f>
        <v>2489.3997079704</v>
      </c>
      <c r="AG63" s="45" t="n">
        <f aca="false">AF61-AG62+AG55-AG61</f>
        <v>2707.84773423123</v>
      </c>
      <c r="AH63" s="45" t="n">
        <f aca="false">AG61-AH62+AH55-AH61</f>
        <v>2664.39994202124</v>
      </c>
      <c r="AI63" s="45" t="n">
        <f aca="false">AH61-AI62+AI55-AI61</f>
        <v>2550.32127283076</v>
      </c>
      <c r="AJ63" s="45" t="n">
        <f aca="false">AI61-AJ62+AJ55-AJ61</f>
        <v>2859.89535498027</v>
      </c>
      <c r="AK63" s="45" t="n">
        <f aca="false">AJ61-AK62+AK55-AK61</f>
        <v>2827.32294763357</v>
      </c>
      <c r="AL63" s="45" t="n">
        <f aca="false">AK61-AL62+AL55-AL61</f>
        <v>2734.42493029468</v>
      </c>
      <c r="AM63" s="45" t="n">
        <f aca="false">AL61-AM62+AM55-AM61</f>
        <v>2902.60761092453</v>
      </c>
      <c r="AO63" s="45" t="n">
        <f aca="false">SUMIF($D$4:$AM$4,AO$4,$D63:$AM63)</f>
        <v>6210.90125195906</v>
      </c>
      <c r="AP63" s="45" t="n">
        <f aca="false">SUMIF($D$4:$AM$4,AP$4,$D63:$AM63)</f>
        <v>16190.9699638806</v>
      </c>
      <c r="AQ63" s="45" t="n">
        <f aca="false">SUMIF($D$4:$AM$4,AQ$4,$D63:$AM63)</f>
        <v>29591.1325413778</v>
      </c>
    </row>
    <row r="64" customFormat="false" ht="15" hidden="false" customHeight="false" outlineLevel="0" collapsed="false">
      <c r="A64" s="11" t="s">
        <v>269</v>
      </c>
      <c r="B64" s="13" t="s">
        <v>161</v>
      </c>
      <c r="C64" s="50" t="n">
        <v>0</v>
      </c>
      <c r="D64" s="44" t="n">
        <f aca="false">D57+D63</f>
        <v>2857.93650793651</v>
      </c>
      <c r="E64" s="44" t="n">
        <f aca="false">E57+E63</f>
        <v>2851.52689593651</v>
      </c>
      <c r="F64" s="44" t="n">
        <f aca="false">F57+F63</f>
        <v>2840.47078912664</v>
      </c>
      <c r="G64" s="44" t="n">
        <f aca="false">G57+G63</f>
        <v>2825.10427423669</v>
      </c>
      <c r="H64" s="44" t="n">
        <f aca="false">H57+H63</f>
        <v>2805.50636613062</v>
      </c>
      <c r="I64" s="44" t="n">
        <f aca="false">I57+I63</f>
        <v>2784.29921916736</v>
      </c>
      <c r="J64" s="44" t="n">
        <f aca="false">J57+J63</f>
        <v>2832.98956358058</v>
      </c>
      <c r="K64" s="44" t="n">
        <f aca="false">K57+K63</f>
        <v>2811.22617162522</v>
      </c>
      <c r="L64" s="44" t="n">
        <f aca="false">L57+L63</f>
        <v>2954.6668440214</v>
      </c>
      <c r="M64" s="44" t="n">
        <f aca="false">M57+M63</f>
        <v>2990.39657471135</v>
      </c>
      <c r="N64" s="44" t="n">
        <f aca="false">N57+N63</f>
        <v>3011.9211987858</v>
      </c>
      <c r="O64" s="44" t="n">
        <f aca="false">O57+O63</f>
        <v>3073.42827527181</v>
      </c>
      <c r="P64" s="44" t="n">
        <f aca="false">P57+P63</f>
        <v>3084.57262265828</v>
      </c>
      <c r="Q64" s="44" t="n">
        <f aca="false">Q57+Q63</f>
        <v>3201.27622903995</v>
      </c>
      <c r="R64" s="44" t="n">
        <f aca="false">R57+R63</f>
        <v>3380.15270293299</v>
      </c>
      <c r="S64" s="44" t="n">
        <f aca="false">S57+S63</f>
        <v>3517.65867766478</v>
      </c>
      <c r="T64" s="44" t="n">
        <f aca="false">T57+T63</f>
        <v>3670.01795663907</v>
      </c>
      <c r="U64" s="44" t="n">
        <f aca="false">U57+U63</f>
        <v>5608.11155940344</v>
      </c>
      <c r="V64" s="44" t="n">
        <f aca="false">V57+V63</f>
        <v>5638.72569983291</v>
      </c>
      <c r="W64" s="44" t="n">
        <f aca="false">W57+W63</f>
        <v>5573.51098553851</v>
      </c>
      <c r="X64" s="44" t="n">
        <f aca="false">X57+X63</f>
        <v>5822.78529864007</v>
      </c>
      <c r="Y64" s="44" t="n">
        <f aca="false">Y57+Y63</f>
        <v>5844.30040203745</v>
      </c>
      <c r="Z64" s="44" t="n">
        <f aca="false">Z57+Z63</f>
        <v>5830.87828183001</v>
      </c>
      <c r="AA64" s="44" t="n">
        <f aca="false">AA57+AA63</f>
        <v>5947.55097623463</v>
      </c>
      <c r="AB64" s="44" t="n">
        <f aca="false">AB57+AB63</f>
        <v>5852.1698271879</v>
      </c>
      <c r="AC64" s="44" t="n">
        <f aca="false">AC57+AC63</f>
        <v>5953.90104681531</v>
      </c>
      <c r="AD64" s="44" t="n">
        <f aca="false">AD57+AD63</f>
        <v>6242.68208617797</v>
      </c>
      <c r="AE64" s="44" t="n">
        <f aca="false">AE57+AE63</f>
        <v>6425.20769935752</v>
      </c>
      <c r="AF64" s="44" t="n">
        <f aca="false">AF57+AF63</f>
        <v>8429.87589844659</v>
      </c>
      <c r="AG64" s="44" t="n">
        <f aca="false">AG57+AG63</f>
        <v>8648.32392470742</v>
      </c>
      <c r="AH64" s="44" t="n">
        <f aca="false">AH57+AH63</f>
        <v>8604.87613249743</v>
      </c>
      <c r="AI64" s="44" t="n">
        <f aca="false">AI57+AI63</f>
        <v>8490.79746330695</v>
      </c>
      <c r="AJ64" s="44" t="n">
        <f aca="false">AJ57+AJ63</f>
        <v>8800.37154545646</v>
      </c>
      <c r="AK64" s="44" t="n">
        <f aca="false">AK57+AK63</f>
        <v>8767.79913810976</v>
      </c>
      <c r="AL64" s="44" t="n">
        <f aca="false">AL57+AL63</f>
        <v>8674.90112077088</v>
      </c>
      <c r="AM64" s="44" t="n">
        <f aca="false">AM57+AM63</f>
        <v>8843.08380140072</v>
      </c>
      <c r="AO64" s="44" t="n">
        <f aca="false">SUMIF($D$4:$AM$4,AO$4,$D64:$AM64)</f>
        <v>34639.4726805305</v>
      </c>
      <c r="AP64" s="44" t="n">
        <f aca="false">SUMIF($D$4:$AM$4,AP$4,$D64:$AM64)</f>
        <v>57119.5413924521</v>
      </c>
      <c r="AQ64" s="44" t="n">
        <f aca="false">SUMIF($D$4:$AM$4,AQ$4,$D64:$AM64)</f>
        <v>93733.9896842349</v>
      </c>
    </row>
    <row r="65" customFormat="false" ht="15" hidden="false" customHeight="false" outlineLevel="0" collapsed="false">
      <c r="A65" s="11" t="s">
        <v>271</v>
      </c>
      <c r="B65" s="13" t="s">
        <v>161</v>
      </c>
      <c r="C65" s="50" t="n">
        <v>0</v>
      </c>
      <c r="D65" s="44" t="n">
        <f aca="false">D48-D64-D62</f>
        <v>-21789.9608412698</v>
      </c>
      <c r="E65" s="44" t="n">
        <f aca="false">E48-E64-E62</f>
        <v>-20112.8801212698</v>
      </c>
      <c r="F65" s="44" t="n">
        <f aca="false">F48-F64-F62</f>
        <v>-18155.3950999153</v>
      </c>
      <c r="G65" s="44" t="n">
        <f aca="false">G48-G64-G62</f>
        <v>-21031.9720366096</v>
      </c>
      <c r="H65" s="44" t="n">
        <f aca="false">H48-H64-H62</f>
        <v>-18929.2079867697</v>
      </c>
      <c r="I65" s="44" t="n">
        <f aca="false">I48-I64-I62</f>
        <v>-16716.6062452239</v>
      </c>
      <c r="J65" s="44" t="n">
        <f aca="false">J48-J64-J62</f>
        <v>-15004.5428218269</v>
      </c>
      <c r="K65" s="44" t="n">
        <f aca="false">K48-K64-K62</f>
        <v>-16202.3838309427</v>
      </c>
      <c r="L65" s="44" t="n">
        <f aca="false">L48-L64-L62</f>
        <v>-11214.4589810228</v>
      </c>
      <c r="M65" s="44" t="n">
        <f aca="false">M48-M64-M62</f>
        <v>-13635.8569596936</v>
      </c>
      <c r="N65" s="44" t="n">
        <f aca="false">N48-N64-N62</f>
        <v>-12342.791891896</v>
      </c>
      <c r="O65" s="44" t="n">
        <f aca="false">O48-O64-O62</f>
        <v>-10205.8966840542</v>
      </c>
      <c r="P65" s="44" t="n">
        <f aca="false">P48-P64-P62</f>
        <v>-15906.373439075</v>
      </c>
      <c r="Q65" s="44" t="n">
        <f aca="false">Q48-Q64-Q62</f>
        <v>-15222.0093716542</v>
      </c>
      <c r="R65" s="44" t="n">
        <f aca="false">R48-R64-R62</f>
        <v>-10484.4871490721</v>
      </c>
      <c r="S65" s="44" t="n">
        <f aca="false">S48-S64-S62</f>
        <v>-10309.2958243092</v>
      </c>
      <c r="T65" s="44" t="n">
        <f aca="false">T48-T64-T62</f>
        <v>-5778.79177032722</v>
      </c>
      <c r="U65" s="44" t="n">
        <f aca="false">U48-U64-U62</f>
        <v>-3501.62529860759</v>
      </c>
      <c r="V65" s="44" t="n">
        <f aca="false">V48-V64-V62</f>
        <v>-8893.1209990899</v>
      </c>
      <c r="W65" s="44" t="n">
        <f aca="false">W48-W64-W62</f>
        <v>-13078.6758389789</v>
      </c>
      <c r="X65" s="44" t="n">
        <f aca="false">X48-X64-X62</f>
        <v>-5083.19441678691</v>
      </c>
      <c r="Y65" s="44" t="n">
        <f aca="false">Y48-Y64-Y62</f>
        <v>-2789.74099823986</v>
      </c>
      <c r="Z65" s="44" t="n">
        <f aca="false">Z48-Z64-Z62</f>
        <v>-732.280620026879</v>
      </c>
      <c r="AA65" s="44" t="n">
        <f aca="false">AA48-AA64-AA62</f>
        <v>3954.66073200852</v>
      </c>
      <c r="AB65" s="44" t="n">
        <f aca="false">AB48-AB64-AB62</f>
        <v>1873.00045433678</v>
      </c>
      <c r="AC65" s="44" t="n">
        <f aca="false">AC48-AC64-AC62</f>
        <v>7043.59969227987</v>
      </c>
      <c r="AD65" s="44" t="n">
        <f aca="false">AD48-AD64-AD62</f>
        <v>8412.36618283094</v>
      </c>
      <c r="AE65" s="44" t="n">
        <f aca="false">AE48-AE64-AE62</f>
        <v>14489.7039591667</v>
      </c>
      <c r="AF65" s="44" t="n">
        <f aca="false">AF48-AF64-AF62</f>
        <v>15389.6369949421</v>
      </c>
      <c r="AG65" s="44" t="n">
        <f aca="false">AG48-AG64-AG62</f>
        <v>19820.8133108475</v>
      </c>
      <c r="AH65" s="44" t="n">
        <f aca="false">AH48-AH64-AH62</f>
        <v>22245.4705678996</v>
      </c>
      <c r="AI65" s="44" t="n">
        <f aca="false">AI48-AI64-AI62</f>
        <v>11583.7356502859</v>
      </c>
      <c r="AJ65" s="44" t="n">
        <f aca="false">AJ48-AJ64-AJ62</f>
        <v>29102.0152850185</v>
      </c>
      <c r="AK65" s="44" t="n">
        <f aca="false">AK48-AK64-AK62</f>
        <v>31717.7425616388</v>
      </c>
      <c r="AL65" s="44" t="n">
        <f aca="false">AL48-AL64-AL62</f>
        <v>33747.9452228343</v>
      </c>
      <c r="AM65" s="44" t="n">
        <f aca="false">AM48-AM64-AM62</f>
        <v>38015.312013865</v>
      </c>
      <c r="AO65" s="44" t="n">
        <f aca="false">SUMIF($D$4:$AM$4,AO$4,$D65:$AM65)</f>
        <v>-195341.953500494</v>
      </c>
      <c r="AP65" s="44" t="n">
        <f aca="false">SUMIF($D$4:$AM$4,AP$4,$D65:$AM65)</f>
        <v>-87824.9349941592</v>
      </c>
      <c r="AQ65" s="44" t="n">
        <f aca="false">SUMIF($D$4:$AM$4,AQ$4,$D65:$AM65)</f>
        <v>233441.341895946</v>
      </c>
    </row>
    <row r="66" customFormat="false" ht="15" hidden="false" customHeight="false" outlineLevel="0" collapsed="false">
      <c r="A66" s="5" t="s">
        <v>167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</row>
    <row r="67" customFormat="false" ht="15" hidden="false" customHeight="false" outlineLevel="0" collapsed="false">
      <c r="A67" s="10" t="s">
        <v>299</v>
      </c>
      <c r="B67" s="13" t="s">
        <v>161</v>
      </c>
      <c r="C67" s="50" t="n">
        <v>0</v>
      </c>
      <c r="D67" s="45" t="n">
        <f aca="false">C70*taux_pret/12</f>
        <v>0</v>
      </c>
      <c r="E67" s="45" t="n">
        <f aca="false">D70*taux_pret/12</f>
        <v>825</v>
      </c>
      <c r="F67" s="45" t="n">
        <f aca="false">E70*taux_pret/12</f>
        <v>825</v>
      </c>
      <c r="G67" s="45" t="n">
        <f aca="false">F70*taux_pret/12</f>
        <v>825</v>
      </c>
      <c r="H67" s="45" t="n">
        <f aca="false">G70*taux_pret/12</f>
        <v>825</v>
      </c>
      <c r="I67" s="45" t="n">
        <f aca="false">H70*taux_pret/12</f>
        <v>825</v>
      </c>
      <c r="J67" s="45" t="n">
        <f aca="false">I70*taux_pret/12</f>
        <v>825</v>
      </c>
      <c r="K67" s="45" t="n">
        <f aca="false">J70*taux_pret/12</f>
        <v>825</v>
      </c>
      <c r="L67" s="45" t="n">
        <f aca="false">K70*taux_pret/12</f>
        <v>811.188395317884</v>
      </c>
      <c r="M67" s="45" t="n">
        <f aca="false">L70*taux_pret/12</f>
        <v>797.32499711821</v>
      </c>
      <c r="N67" s="45" t="n">
        <f aca="false">M70*taux_pret/12</f>
        <v>783.409611175288</v>
      </c>
      <c r="O67" s="45" t="n">
        <f aca="false">N70*taux_pret/12</f>
        <v>769.442042535079</v>
      </c>
      <c r="P67" s="45" t="n">
        <f aca="false">O70*taux_pret/12</f>
        <v>755.42209551247</v>
      </c>
      <c r="Q67" s="45" t="n">
        <f aca="false">P70*taux_pret/12</f>
        <v>741.349573688526</v>
      </c>
      <c r="R67" s="45" t="n">
        <f aca="false">Q70*taux_pret/12</f>
        <v>727.224279907742</v>
      </c>
      <c r="S67" s="45" t="n">
        <f aca="false">R70*taux_pret/12</f>
        <v>713.04601627528</v>
      </c>
      <c r="T67" s="45" t="n">
        <f aca="false">S70*taux_pret/12</f>
        <v>698.814584154196</v>
      </c>
      <c r="U67" s="45" t="n">
        <f aca="false">T70*taux_pret/12</f>
        <v>684.529784162658</v>
      </c>
      <c r="V67" s="45" t="n">
        <f aca="false">U70*taux_pret/12</f>
        <v>670.191416171153</v>
      </c>
      <c r="W67" s="45" t="n">
        <f aca="false">V70*taux_pret/12</f>
        <v>655.799279299679</v>
      </c>
      <c r="X67" s="45" t="n">
        <f aca="false">W70*taux_pret/12</f>
        <v>641.353171914936</v>
      </c>
      <c r="Y67" s="45" t="n">
        <f aca="false">X70*taux_pret/12</f>
        <v>626.852891627501</v>
      </c>
      <c r="Z67" s="45" t="n">
        <f aca="false">Y70*taux_pret/12</f>
        <v>612.298235288989</v>
      </c>
      <c r="AA67" s="45" t="n">
        <f aca="false">Z70*taux_pret/12</f>
        <v>597.688998989207</v>
      </c>
      <c r="AB67" s="45" t="n">
        <f aca="false">AA70*taux_pret/12</f>
        <v>583.0249780533</v>
      </c>
      <c r="AC67" s="45" t="n">
        <f aca="false">AB70*taux_pret/12</f>
        <v>568.305967038884</v>
      </c>
      <c r="AD67" s="45" t="n">
        <f aca="false">AC70*taux_pret/12</f>
        <v>553.531759733164</v>
      </c>
      <c r="AE67" s="45" t="n">
        <f aca="false">AD70*taux_pret/12</f>
        <v>538.702149150047</v>
      </c>
      <c r="AF67" s="45" t="n">
        <f aca="false">AE70*taux_pret/12</f>
        <v>523.816927527244</v>
      </c>
      <c r="AG67" s="45" t="n">
        <f aca="false">AF70*taux_pret/12</f>
        <v>508.875886323356</v>
      </c>
      <c r="AH67" s="45" t="n">
        <f aca="false">AG70*taux_pret/12</f>
        <v>493.878816214952</v>
      </c>
      <c r="AI67" s="45" t="n">
        <f aca="false">AH70*taux_pret/12</f>
        <v>478.825507093642</v>
      </c>
      <c r="AJ67" s="45" t="n">
        <f aca="false">AI70*taux_pret/12</f>
        <v>463.715748063128</v>
      </c>
      <c r="AK67" s="45" t="n">
        <f aca="false">AJ70*taux_pret/12</f>
        <v>448.549327436248</v>
      </c>
      <c r="AL67" s="45" t="n">
        <f aca="false">AK70*taux_pret/12</f>
        <v>433.326032732019</v>
      </c>
      <c r="AM67" s="45" t="n">
        <f aca="false">AL70*taux_pret/12</f>
        <v>418.045650672648</v>
      </c>
      <c r="AO67" s="45" t="n">
        <f aca="false">SUMIF($D$4:$AM$4,AO$4,$D67:$AM67)</f>
        <v>8936.36504614646</v>
      </c>
      <c r="AP67" s="45" t="n">
        <f aca="false">SUMIF($D$4:$AM$4,AP$4,$D67:$AM67)</f>
        <v>8124.57032699234</v>
      </c>
      <c r="AQ67" s="45" t="n">
        <f aca="false">SUMIF($D$4:$AM$4,AQ$4,$D67:$AM67)</f>
        <v>6012.59875003863</v>
      </c>
    </row>
    <row r="68" customFormat="false" ht="15" hidden="false" customHeight="false" outlineLevel="0" collapsed="false">
      <c r="A68" s="10" t="s">
        <v>298</v>
      </c>
      <c r="B68" s="13" t="s">
        <v>161</v>
      </c>
      <c r="C68" s="50" t="n">
        <v>0</v>
      </c>
      <c r="D68" s="45" t="n">
        <f aca="false">IF(AND(D$6&gt;mois_pret+differe,D$6&lt;=mois_pret+differe+duree_pret),mensualite-D67,0)</f>
        <v>0</v>
      </c>
      <c r="E68" s="45" t="n">
        <f aca="false">IF(AND(E$6&gt;mois_pret+differe,E$6&lt;=mois_pret+differe+duree_pret),mensualite-E67,0)</f>
        <v>0</v>
      </c>
      <c r="F68" s="45" t="n">
        <f aca="false">IF(AND(F$6&gt;mois_pret+differe,F$6&lt;=mois_pret+differe+duree_pret),mensualite-F67,0)</f>
        <v>0</v>
      </c>
      <c r="G68" s="45" t="n">
        <f aca="false">IF(AND(G$6&gt;mois_pret+differe,G$6&lt;=mois_pret+differe+duree_pret),mensualite-G67,0)</f>
        <v>0</v>
      </c>
      <c r="H68" s="45" t="n">
        <f aca="false">IF(AND(H$6&gt;mois_pret+differe,H$6&lt;=mois_pret+differe+duree_pret),mensualite-H67,0)</f>
        <v>0</v>
      </c>
      <c r="I68" s="45" t="n">
        <f aca="false">IF(AND(I$6&gt;mois_pret+differe,I$6&lt;=mois_pret+differe+duree_pret),mensualite-I67,0)</f>
        <v>0</v>
      </c>
      <c r="J68" s="45" t="n">
        <f aca="false">IF(AND(J$6&gt;mois_pret+differe,J$6&lt;=mois_pret+differe+duree_pret),mensualite-J67,0)</f>
        <v>0</v>
      </c>
      <c r="K68" s="45" t="n">
        <f aca="false">IF(AND(K$6&gt;mois_pret+differe,K$6&lt;=mois_pret+differe+duree_pret),mensualite-K67,0)</f>
        <v>3683.09458189757</v>
      </c>
      <c r="L68" s="45" t="n">
        <f aca="false">IF(AND(L$6&gt;mois_pret+differe,L$6&lt;=mois_pret+differe+duree_pret),mensualite-L67,0)</f>
        <v>3696.90618657969</v>
      </c>
      <c r="M68" s="45" t="n">
        <f aca="false">IF(AND(M$6&gt;mois_pret+differe,M$6&lt;=mois_pret+differe+duree_pret),mensualite-M67,0)</f>
        <v>3710.76958477936</v>
      </c>
      <c r="N68" s="45" t="n">
        <f aca="false">IF(AND(N$6&gt;mois_pret+differe,N$6&lt;=mois_pret+differe+duree_pret),mensualite-N67,0)</f>
        <v>3724.68497072228</v>
      </c>
      <c r="O68" s="45" t="n">
        <f aca="false">IF(AND(O$6&gt;mois_pret+differe,O$6&lt;=mois_pret+differe+duree_pret),mensualite-O67,0)</f>
        <v>3738.65253936249</v>
      </c>
      <c r="P68" s="45" t="n">
        <f aca="false">IF(AND(P$6&gt;mois_pret+differe,P$6&lt;=mois_pret+differe+duree_pret),mensualite-P67,0)</f>
        <v>3752.6724863851</v>
      </c>
      <c r="Q68" s="45" t="n">
        <f aca="false">IF(AND(Q$6&gt;mois_pret+differe,Q$6&lt;=mois_pret+differe+duree_pret),mensualite-Q67,0)</f>
        <v>3766.74500820905</v>
      </c>
      <c r="R68" s="45" t="n">
        <f aca="false">IF(AND(R$6&gt;mois_pret+differe,R$6&lt;=mois_pret+differe+duree_pret),mensualite-R67,0)</f>
        <v>3780.87030198983</v>
      </c>
      <c r="S68" s="45" t="n">
        <f aca="false">IF(AND(S$6&gt;mois_pret+differe,S$6&lt;=mois_pret+differe+duree_pret),mensualite-S67,0)</f>
        <v>3795.04856562229</v>
      </c>
      <c r="T68" s="45" t="n">
        <f aca="false">IF(AND(T$6&gt;mois_pret+differe,T$6&lt;=mois_pret+differe+duree_pret),mensualite-T67,0)</f>
        <v>3809.27999774337</v>
      </c>
      <c r="U68" s="45" t="n">
        <f aca="false">IF(AND(U$6&gt;mois_pret+differe,U$6&lt;=mois_pret+differe+duree_pret),mensualite-U67,0)</f>
        <v>3823.56479773491</v>
      </c>
      <c r="V68" s="45" t="n">
        <f aca="false">IF(AND(V$6&gt;mois_pret+differe,V$6&lt;=mois_pret+differe+duree_pret),mensualite-V67,0)</f>
        <v>3837.90316572642</v>
      </c>
      <c r="W68" s="45" t="n">
        <f aca="false">IF(AND(W$6&gt;mois_pret+differe,W$6&lt;=mois_pret+differe+duree_pret),mensualite-W67,0)</f>
        <v>3852.29530259789</v>
      </c>
      <c r="X68" s="45" t="n">
        <f aca="false">IF(AND(X$6&gt;mois_pret+differe,X$6&lt;=mois_pret+differe+duree_pret),mensualite-X67,0)</f>
        <v>3866.74140998263</v>
      </c>
      <c r="Y68" s="45" t="n">
        <f aca="false">IF(AND(Y$6&gt;mois_pret+differe,Y$6&lt;=mois_pret+differe+duree_pret),mensualite-Y67,0)</f>
        <v>3881.24169027007</v>
      </c>
      <c r="Z68" s="45" t="n">
        <f aca="false">IF(AND(Z$6&gt;mois_pret+differe,Z$6&lt;=mois_pret+differe+duree_pret),mensualite-Z67,0)</f>
        <v>3895.79634660858</v>
      </c>
      <c r="AA68" s="45" t="n">
        <f aca="false">IF(AND(AA$6&gt;mois_pret+differe,AA$6&lt;=mois_pret+differe+duree_pret),mensualite-AA67,0)</f>
        <v>3910.40558290836</v>
      </c>
      <c r="AB68" s="45" t="n">
        <f aca="false">IF(AND(AB$6&gt;mois_pret+differe,AB$6&lt;=mois_pret+differe+duree_pret),mensualite-AB67,0)</f>
        <v>3925.06960384427</v>
      </c>
      <c r="AC68" s="45" t="n">
        <f aca="false">IF(AND(AC$6&gt;mois_pret+differe,AC$6&lt;=mois_pret+differe+duree_pret),mensualite-AC67,0)</f>
        <v>3939.78861485869</v>
      </c>
      <c r="AD68" s="45" t="n">
        <f aca="false">IF(AND(AD$6&gt;mois_pret+differe,AD$6&lt;=mois_pret+differe+duree_pret),mensualite-AD67,0)</f>
        <v>3954.56282216441</v>
      </c>
      <c r="AE68" s="45" t="n">
        <f aca="false">IF(AND(AE$6&gt;mois_pret+differe,AE$6&lt;=mois_pret+differe+duree_pret),mensualite-AE67,0)</f>
        <v>3969.39243274752</v>
      </c>
      <c r="AF68" s="45" t="n">
        <f aca="false">IF(AND(AF$6&gt;mois_pret+differe,AF$6&lt;=mois_pret+differe+duree_pret),mensualite-AF67,0)</f>
        <v>3984.27765437033</v>
      </c>
      <c r="AG68" s="45" t="n">
        <f aca="false">IF(AND(AG$6&gt;mois_pret+differe,AG$6&lt;=mois_pret+differe+duree_pret),mensualite-AG67,0)</f>
        <v>3999.21869557422</v>
      </c>
      <c r="AH68" s="45" t="n">
        <f aca="false">IF(AND(AH$6&gt;mois_pret+differe,AH$6&lt;=mois_pret+differe+duree_pret),mensualite-AH67,0)</f>
        <v>4014.21576568262</v>
      </c>
      <c r="AI68" s="45" t="n">
        <f aca="false">IF(AND(AI$6&gt;mois_pret+differe,AI$6&lt;=mois_pret+differe+duree_pret),mensualite-AI67,0)</f>
        <v>4029.26907480393</v>
      </c>
      <c r="AJ68" s="45" t="n">
        <f aca="false">IF(AND(AJ$6&gt;mois_pret+differe,AJ$6&lt;=mois_pret+differe+duree_pret),mensualite-AJ67,0)</f>
        <v>4044.37883383444</v>
      </c>
      <c r="AK68" s="45" t="n">
        <f aca="false">IF(AND(AK$6&gt;mois_pret+differe,AK$6&lt;=mois_pret+differe+duree_pret),mensualite-AK67,0)</f>
        <v>4059.54525446132</v>
      </c>
      <c r="AL68" s="45" t="n">
        <f aca="false">IF(AND(AL$6&gt;mois_pret+differe,AL$6&lt;=mois_pret+differe+duree_pret),mensualite-AL67,0)</f>
        <v>4074.76854916555</v>
      </c>
      <c r="AM68" s="45" t="n">
        <f aca="false">IF(AND(AM$6&gt;mois_pret+differe,AM$6&lt;=mois_pret+differe+duree_pret),mensualite-AM67,0)</f>
        <v>4090.04893122492</v>
      </c>
      <c r="AO68" s="45" t="n">
        <f aca="false">SUMIF($D$4:$AM$4,AO$4,$D68:$AM68)</f>
        <v>18554.1078633414</v>
      </c>
      <c r="AP68" s="45" t="n">
        <f aca="false">SUMIF($D$4:$AM$4,AP$4,$D68:$AM68)</f>
        <v>45972.5646557785</v>
      </c>
      <c r="AQ68" s="45" t="n">
        <f aca="false">SUMIF($D$4:$AM$4,AQ$4,$D68:$AM68)</f>
        <v>48084.5362327322</v>
      </c>
    </row>
    <row r="69" customFormat="false" ht="15" hidden="false" customHeight="false" outlineLevel="0" collapsed="false">
      <c r="A69" s="10" t="s">
        <v>297</v>
      </c>
      <c r="B69" s="13" t="s">
        <v>161</v>
      </c>
      <c r="C69" s="50" t="n">
        <v>0</v>
      </c>
      <c r="D69" s="45" t="n">
        <f aca="false">IF(D$6=mois_pret,pret,0)</f>
        <v>220000</v>
      </c>
      <c r="E69" s="45" t="n">
        <f aca="false">IF(E$6=mois_pret,pret,0)</f>
        <v>0</v>
      </c>
      <c r="F69" s="45" t="n">
        <f aca="false">IF(F$6=mois_pret,pret,0)</f>
        <v>0</v>
      </c>
      <c r="G69" s="45" t="n">
        <f aca="false">IF(G$6=mois_pret,pret,0)</f>
        <v>0</v>
      </c>
      <c r="H69" s="45" t="n">
        <f aca="false">IF(H$6=mois_pret,pret,0)</f>
        <v>0</v>
      </c>
      <c r="I69" s="45" t="n">
        <f aca="false">IF(I$6=mois_pret,pret,0)</f>
        <v>0</v>
      </c>
      <c r="J69" s="45" t="n">
        <f aca="false">IF(J$6=mois_pret,pret,0)</f>
        <v>0</v>
      </c>
      <c r="K69" s="45" t="n">
        <f aca="false">IF(K$6=mois_pret,pret,0)</f>
        <v>0</v>
      </c>
      <c r="L69" s="45" t="n">
        <f aca="false">IF(L$6=mois_pret,pret,0)</f>
        <v>0</v>
      </c>
      <c r="M69" s="45" t="n">
        <f aca="false">IF(M$6=mois_pret,pret,0)</f>
        <v>0</v>
      </c>
      <c r="N69" s="45" t="n">
        <f aca="false">IF(N$6=mois_pret,pret,0)</f>
        <v>0</v>
      </c>
      <c r="O69" s="45" t="n">
        <f aca="false">IF(O$6=mois_pret,pret,0)</f>
        <v>0</v>
      </c>
      <c r="P69" s="45" t="n">
        <f aca="false">IF(P$6=mois_pret,pret,0)</f>
        <v>0</v>
      </c>
      <c r="Q69" s="45" t="n">
        <f aca="false">IF(Q$6=mois_pret,pret,0)</f>
        <v>0</v>
      </c>
      <c r="R69" s="45" t="n">
        <f aca="false">IF(R$6=mois_pret,pret,0)</f>
        <v>0</v>
      </c>
      <c r="S69" s="45" t="n">
        <f aca="false">IF(S$6=mois_pret,pret,0)</f>
        <v>0</v>
      </c>
      <c r="T69" s="45" t="n">
        <f aca="false">IF(T$6=mois_pret,pret,0)</f>
        <v>0</v>
      </c>
      <c r="U69" s="45" t="n">
        <f aca="false">IF(U$6=mois_pret,pret,0)</f>
        <v>0</v>
      </c>
      <c r="V69" s="45" t="n">
        <f aca="false">IF(V$6=mois_pret,pret,0)</f>
        <v>0</v>
      </c>
      <c r="W69" s="45" t="n">
        <f aca="false">IF(W$6=mois_pret,pret,0)</f>
        <v>0</v>
      </c>
      <c r="X69" s="45" t="n">
        <f aca="false">IF(X$6=mois_pret,pret,0)</f>
        <v>0</v>
      </c>
      <c r="Y69" s="45" t="n">
        <f aca="false">IF(Y$6=mois_pret,pret,0)</f>
        <v>0</v>
      </c>
      <c r="Z69" s="45" t="n">
        <f aca="false">IF(Z$6=mois_pret,pret,0)</f>
        <v>0</v>
      </c>
      <c r="AA69" s="45" t="n">
        <f aca="false">IF(AA$6=mois_pret,pret,0)</f>
        <v>0</v>
      </c>
      <c r="AB69" s="45" t="n">
        <f aca="false">IF(AB$6=mois_pret,pret,0)</f>
        <v>0</v>
      </c>
      <c r="AC69" s="45" t="n">
        <f aca="false">IF(AC$6=mois_pret,pret,0)</f>
        <v>0</v>
      </c>
      <c r="AD69" s="45" t="n">
        <f aca="false">IF(AD$6=mois_pret,pret,0)</f>
        <v>0</v>
      </c>
      <c r="AE69" s="45" t="n">
        <f aca="false">IF(AE$6=mois_pret,pret,0)</f>
        <v>0</v>
      </c>
      <c r="AF69" s="45" t="n">
        <f aca="false">IF(AF$6=mois_pret,pret,0)</f>
        <v>0</v>
      </c>
      <c r="AG69" s="45" t="n">
        <f aca="false">IF(AG$6=mois_pret,pret,0)</f>
        <v>0</v>
      </c>
      <c r="AH69" s="45" t="n">
        <f aca="false">IF(AH$6=mois_pret,pret,0)</f>
        <v>0</v>
      </c>
      <c r="AI69" s="45" t="n">
        <f aca="false">IF(AI$6=mois_pret,pret,0)</f>
        <v>0</v>
      </c>
      <c r="AJ69" s="45" t="n">
        <f aca="false">IF(AJ$6=mois_pret,pret,0)</f>
        <v>0</v>
      </c>
      <c r="AK69" s="45" t="n">
        <f aca="false">IF(AK$6=mois_pret,pret,0)</f>
        <v>0</v>
      </c>
      <c r="AL69" s="45" t="n">
        <f aca="false">IF(AL$6=mois_pret,pret,0)</f>
        <v>0</v>
      </c>
      <c r="AM69" s="45" t="n">
        <f aca="false">IF(AM$6=mois_pret,pret,0)</f>
        <v>0</v>
      </c>
      <c r="AO69" s="45" t="n">
        <f aca="false">SUMIF($D$4:$AM$4,AO$4,$D69:$AM69)</f>
        <v>220000</v>
      </c>
      <c r="AP69" s="45" t="n">
        <f aca="false">SUMIF($D$4:$AM$4,AP$4,$D69:$AM69)</f>
        <v>0</v>
      </c>
      <c r="AQ69" s="45" t="n">
        <f aca="false">SUMIF($D$4:$AM$4,AQ$4,$D69:$AM69)</f>
        <v>0</v>
      </c>
    </row>
    <row r="70" customFormat="false" ht="15" hidden="false" customHeight="false" outlineLevel="0" collapsed="false">
      <c r="A70" s="10" t="s">
        <v>425</v>
      </c>
      <c r="B70" s="13" t="s">
        <v>161</v>
      </c>
      <c r="C70" s="50" t="n">
        <v>0</v>
      </c>
      <c r="D70" s="45" t="n">
        <f aca="false">C70+D69-D68</f>
        <v>220000</v>
      </c>
      <c r="E70" s="45" t="n">
        <f aca="false">D70+E69-E68</f>
        <v>220000</v>
      </c>
      <c r="F70" s="45" t="n">
        <f aca="false">E70+F69-F68</f>
        <v>220000</v>
      </c>
      <c r="G70" s="45" t="n">
        <f aca="false">F70+G69-G68</f>
        <v>220000</v>
      </c>
      <c r="H70" s="45" t="n">
        <f aca="false">G70+H69-H68</f>
        <v>220000</v>
      </c>
      <c r="I70" s="45" t="n">
        <f aca="false">H70+I69-I68</f>
        <v>220000</v>
      </c>
      <c r="J70" s="45" t="n">
        <f aca="false">I70+J69-J68</f>
        <v>220000</v>
      </c>
      <c r="K70" s="45" t="n">
        <f aca="false">J70+K69-K68</f>
        <v>216316.905418102</v>
      </c>
      <c r="L70" s="45" t="n">
        <f aca="false">K70+L69-L68</f>
        <v>212619.999231523</v>
      </c>
      <c r="M70" s="45" t="n">
        <f aca="false">L70+M69-M68</f>
        <v>208909.229646743</v>
      </c>
      <c r="N70" s="45" t="n">
        <f aca="false">M70+N69-N68</f>
        <v>205184.544676021</v>
      </c>
      <c r="O70" s="45" t="n">
        <f aca="false">N70+O69-O68</f>
        <v>201445.892136659</v>
      </c>
      <c r="P70" s="45" t="n">
        <f aca="false">O70+P69-P68</f>
        <v>197693.219650274</v>
      </c>
      <c r="Q70" s="45" t="n">
        <f aca="false">P70+Q69-Q68</f>
        <v>193926.474642064</v>
      </c>
      <c r="R70" s="45" t="n">
        <f aca="false">Q70+R69-R68</f>
        <v>190145.604340075</v>
      </c>
      <c r="S70" s="45" t="n">
        <f aca="false">R70+S69-S68</f>
        <v>186350.555774452</v>
      </c>
      <c r="T70" s="45" t="n">
        <f aca="false">S70+T69-T68</f>
        <v>182541.275776709</v>
      </c>
      <c r="U70" s="45" t="n">
        <f aca="false">T70+U69-U68</f>
        <v>178717.710978974</v>
      </c>
      <c r="V70" s="45" t="n">
        <f aca="false">U70+V69-V68</f>
        <v>174879.807813248</v>
      </c>
      <c r="W70" s="45" t="n">
        <f aca="false">V70+W69-W68</f>
        <v>171027.51251065</v>
      </c>
      <c r="X70" s="45" t="n">
        <f aca="false">W70+X69-X68</f>
        <v>167160.771100667</v>
      </c>
      <c r="Y70" s="45" t="n">
        <f aca="false">X70+Y69-Y68</f>
        <v>163279.529410397</v>
      </c>
      <c r="Z70" s="45" t="n">
        <f aca="false">Y70+Z69-Z68</f>
        <v>159383.733063788</v>
      </c>
      <c r="AA70" s="45" t="n">
        <f aca="false">Z70+AA69-AA68</f>
        <v>155473.32748088</v>
      </c>
      <c r="AB70" s="45" t="n">
        <f aca="false">AA70+AB69-AB68</f>
        <v>151548.257877036</v>
      </c>
      <c r="AC70" s="45" t="n">
        <f aca="false">AB70+AC69-AC68</f>
        <v>147608.469262177</v>
      </c>
      <c r="AD70" s="45" t="n">
        <f aca="false">AC70+AD69-AD68</f>
        <v>143653.906440013</v>
      </c>
      <c r="AE70" s="45" t="n">
        <f aca="false">AD70+AE69-AE68</f>
        <v>139684.514007265</v>
      </c>
      <c r="AF70" s="45" t="n">
        <f aca="false">AE70+AF69-AF68</f>
        <v>135700.236352895</v>
      </c>
      <c r="AG70" s="45" t="n">
        <f aca="false">AF70+AG69-AG68</f>
        <v>131701.017657321</v>
      </c>
      <c r="AH70" s="45" t="n">
        <f aca="false">AG70+AH69-AH68</f>
        <v>127686.801891638</v>
      </c>
      <c r="AI70" s="45" t="n">
        <f aca="false">AH70+AI69-AI68</f>
        <v>123657.532816834</v>
      </c>
      <c r="AJ70" s="45" t="n">
        <f aca="false">AI70+AJ69-AJ68</f>
        <v>119613.153983</v>
      </c>
      <c r="AK70" s="45" t="n">
        <f aca="false">AJ70+AK69-AK68</f>
        <v>115553.608728538</v>
      </c>
      <c r="AL70" s="45" t="n">
        <f aca="false">AK70+AL69-AL68</f>
        <v>111478.840179373</v>
      </c>
      <c r="AM70" s="45" t="n">
        <f aca="false">AL70+AM69-AM68</f>
        <v>107388.791248148</v>
      </c>
      <c r="AO70" s="45" t="n">
        <f aca="false">INDEX($D70:$AM70,(AO$4-annee_debut)*12+12)</f>
        <v>201445.892136659</v>
      </c>
      <c r="AP70" s="45" t="n">
        <f aca="false">INDEX($D70:$AM70,(AP$4-annee_debut)*12+12)</f>
        <v>155473.32748088</v>
      </c>
      <c r="AQ70" s="45" t="n">
        <f aca="false">INDEX($D70:$AM70,(AQ$4-annee_debut)*12+12)</f>
        <v>107388.791248148</v>
      </c>
    </row>
    <row r="71" customFormat="false" ht="15" hidden="false" customHeight="false" outlineLevel="0" collapsed="false">
      <c r="A71" s="5" t="s">
        <v>426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</row>
    <row r="72" customFormat="false" ht="15" hidden="false" customHeight="false" outlineLevel="0" collapsed="false">
      <c r="A72" s="11" t="s">
        <v>273</v>
      </c>
      <c r="B72" s="13" t="s">
        <v>161</v>
      </c>
      <c r="C72" s="50" t="n">
        <v>0</v>
      </c>
      <c r="D72" s="44" t="n">
        <f aca="false">D65-D67</f>
        <v>-21789.9608412698</v>
      </c>
      <c r="E72" s="44" t="n">
        <f aca="false">E65-E67</f>
        <v>-20937.8801212698</v>
      </c>
      <c r="F72" s="44" t="n">
        <f aca="false">F65-F67</f>
        <v>-18980.3950999153</v>
      </c>
      <c r="G72" s="44" t="n">
        <f aca="false">G65-G67</f>
        <v>-21856.9720366096</v>
      </c>
      <c r="H72" s="44" t="n">
        <f aca="false">H65-H67</f>
        <v>-19754.2079867697</v>
      </c>
      <c r="I72" s="44" t="n">
        <f aca="false">I65-I67</f>
        <v>-17541.6062452239</v>
      </c>
      <c r="J72" s="44" t="n">
        <f aca="false">J65-J67</f>
        <v>-15829.5428218269</v>
      </c>
      <c r="K72" s="44" t="n">
        <f aca="false">K65-K67</f>
        <v>-17027.3838309427</v>
      </c>
      <c r="L72" s="44" t="n">
        <f aca="false">L65-L67</f>
        <v>-12025.6473763407</v>
      </c>
      <c r="M72" s="44" t="n">
        <f aca="false">M65-M67</f>
        <v>-14433.1819568118</v>
      </c>
      <c r="N72" s="44" t="n">
        <f aca="false">N65-N67</f>
        <v>-13126.2015030712</v>
      </c>
      <c r="O72" s="44" t="n">
        <f aca="false">O65-O67</f>
        <v>-10975.3387265893</v>
      </c>
      <c r="P72" s="44" t="n">
        <f aca="false">P65-P67</f>
        <v>-16661.7955345874</v>
      </c>
      <c r="Q72" s="44" t="n">
        <f aca="false">Q65-Q67</f>
        <v>-15963.3589453427</v>
      </c>
      <c r="R72" s="44" t="n">
        <f aca="false">R65-R67</f>
        <v>-11211.7114289799</v>
      </c>
      <c r="S72" s="44" t="n">
        <f aca="false">S65-S67</f>
        <v>-11022.3418405845</v>
      </c>
      <c r="T72" s="44" t="n">
        <f aca="false">T65-T67</f>
        <v>-6477.60635448142</v>
      </c>
      <c r="U72" s="44" t="n">
        <f aca="false">U65-U67</f>
        <v>-4186.15508277025</v>
      </c>
      <c r="V72" s="44" t="n">
        <f aca="false">V65-V67</f>
        <v>-9563.31241526105</v>
      </c>
      <c r="W72" s="44" t="n">
        <f aca="false">W65-W67</f>
        <v>-13734.4751182786</v>
      </c>
      <c r="X72" s="44" t="n">
        <f aca="false">X65-X67</f>
        <v>-5724.54758870185</v>
      </c>
      <c r="Y72" s="44" t="n">
        <f aca="false">Y65-Y67</f>
        <v>-3416.59388986736</v>
      </c>
      <c r="Z72" s="44" t="n">
        <f aca="false">Z65-Z67</f>
        <v>-1344.57885531587</v>
      </c>
      <c r="AA72" s="44" t="n">
        <f aca="false">AA65-AA67</f>
        <v>3356.97173301931</v>
      </c>
      <c r="AB72" s="44" t="n">
        <f aca="false">AB65-AB67</f>
        <v>1289.97547628348</v>
      </c>
      <c r="AC72" s="44" t="n">
        <f aca="false">AC65-AC67</f>
        <v>6475.29372524099</v>
      </c>
      <c r="AD72" s="44" t="n">
        <f aca="false">AD65-AD67</f>
        <v>7858.83442309778</v>
      </c>
      <c r="AE72" s="44" t="n">
        <f aca="false">AE65-AE67</f>
        <v>13951.0018100167</v>
      </c>
      <c r="AF72" s="44" t="n">
        <f aca="false">AF65-AF67</f>
        <v>14865.8200674148</v>
      </c>
      <c r="AG72" s="44" t="n">
        <f aca="false">AG65-AG67</f>
        <v>19311.9374245242</v>
      </c>
      <c r="AH72" s="44" t="n">
        <f aca="false">AH65-AH67</f>
        <v>21751.5917516846</v>
      </c>
      <c r="AI72" s="44" t="n">
        <f aca="false">AI65-AI67</f>
        <v>11104.9101431922</v>
      </c>
      <c r="AJ72" s="44" t="n">
        <f aca="false">AJ65-AJ67</f>
        <v>28638.2995369553</v>
      </c>
      <c r="AK72" s="44" t="n">
        <f aca="false">AK65-AK67</f>
        <v>31269.1932342026</v>
      </c>
      <c r="AL72" s="44" t="n">
        <f aca="false">AL65-AL67</f>
        <v>33314.6191901023</v>
      </c>
      <c r="AM72" s="44" t="n">
        <f aca="false">AM65-AM67</f>
        <v>37597.2663631923</v>
      </c>
      <c r="AO72" s="44" t="n">
        <f aca="false">SUMIF($D$4:$AM$4,AO$4,$D72:$AM72)</f>
        <v>-204278.318546641</v>
      </c>
      <c r="AP72" s="44" t="n">
        <f aca="false">SUMIF($D$4:$AM$4,AP$4,$D72:$AM72)</f>
        <v>-95949.5053211515</v>
      </c>
      <c r="AQ72" s="44" t="n">
        <f aca="false">SUMIF($D$4:$AM$4,AQ$4,$D72:$AM72)</f>
        <v>227428.743145907</v>
      </c>
    </row>
    <row r="73" customFormat="false" ht="15" hidden="false" customHeight="false" outlineLevel="0" collapsed="false">
      <c r="A73" s="10" t="s">
        <v>427</v>
      </c>
      <c r="B73" s="13" t="s">
        <v>161</v>
      </c>
      <c r="C73" s="50" t="n">
        <v>0</v>
      </c>
      <c r="D73" s="45" t="n">
        <f aca="false">IF(D$5=12,taux_is*MAX(0,SUMIF($D$4:$AM$4,D$4,$D72:$AM72)-C74),0)</f>
        <v>0</v>
      </c>
      <c r="E73" s="45" t="n">
        <f aca="false">IF(E$5=12,taux_is*MAX(0,SUMIF($D$4:$AM$4,E$4,$D72:$AM72)-D74),0)</f>
        <v>0</v>
      </c>
      <c r="F73" s="45" t="n">
        <f aca="false">IF(F$5=12,taux_is*MAX(0,SUMIF($D$4:$AM$4,F$4,$D72:$AM72)-E74),0)</f>
        <v>0</v>
      </c>
      <c r="G73" s="45" t="n">
        <f aca="false">IF(G$5=12,taux_is*MAX(0,SUMIF($D$4:$AM$4,G$4,$D72:$AM72)-F74),0)</f>
        <v>0</v>
      </c>
      <c r="H73" s="45" t="n">
        <f aca="false">IF(H$5=12,taux_is*MAX(0,SUMIF($D$4:$AM$4,H$4,$D72:$AM72)-G74),0)</f>
        <v>0</v>
      </c>
      <c r="I73" s="45" t="n">
        <f aca="false">IF(I$5=12,taux_is*MAX(0,SUMIF($D$4:$AM$4,I$4,$D72:$AM72)-H74),0)</f>
        <v>0</v>
      </c>
      <c r="J73" s="45" t="n">
        <f aca="false">IF(J$5=12,taux_is*MAX(0,SUMIF($D$4:$AM$4,J$4,$D72:$AM72)-I74),0)</f>
        <v>0</v>
      </c>
      <c r="K73" s="45" t="n">
        <f aca="false">IF(K$5=12,taux_is*MAX(0,SUMIF($D$4:$AM$4,K$4,$D72:$AM72)-J74),0)</f>
        <v>0</v>
      </c>
      <c r="L73" s="45" t="n">
        <f aca="false">IF(L$5=12,taux_is*MAX(0,SUMIF($D$4:$AM$4,L$4,$D72:$AM72)-K74),0)</f>
        <v>0</v>
      </c>
      <c r="M73" s="45" t="n">
        <f aca="false">IF(M$5=12,taux_is*MAX(0,SUMIF($D$4:$AM$4,M$4,$D72:$AM72)-L74),0)</f>
        <v>0</v>
      </c>
      <c r="N73" s="45" t="n">
        <f aca="false">IF(N$5=12,taux_is*MAX(0,SUMIF($D$4:$AM$4,N$4,$D72:$AM72)-M74),0)</f>
        <v>0</v>
      </c>
      <c r="O73" s="45" t="n">
        <f aca="false">IF(O$5=12,taux_is*MAX(0,SUMIF($D$4:$AM$4,O$4,$D72:$AM72)-N74),0)</f>
        <v>0</v>
      </c>
      <c r="P73" s="45" t="n">
        <f aca="false">IF(P$5=12,taux_is*MAX(0,SUMIF($D$4:$AM$4,P$4,$D72:$AM72)-O74),0)</f>
        <v>0</v>
      </c>
      <c r="Q73" s="45" t="n">
        <f aca="false">IF(Q$5=12,taux_is*MAX(0,SUMIF($D$4:$AM$4,Q$4,$D72:$AM72)-P74),0)</f>
        <v>0</v>
      </c>
      <c r="R73" s="45" t="n">
        <f aca="false">IF(R$5=12,taux_is*MAX(0,SUMIF($D$4:$AM$4,R$4,$D72:$AM72)-Q74),0)</f>
        <v>0</v>
      </c>
      <c r="S73" s="45" t="n">
        <f aca="false">IF(S$5=12,taux_is*MAX(0,SUMIF($D$4:$AM$4,S$4,$D72:$AM72)-R74),0)</f>
        <v>0</v>
      </c>
      <c r="T73" s="45" t="n">
        <f aca="false">IF(T$5=12,taux_is*MAX(0,SUMIF($D$4:$AM$4,T$4,$D72:$AM72)-S74),0)</f>
        <v>0</v>
      </c>
      <c r="U73" s="45" t="n">
        <f aca="false">IF(U$5=12,taux_is*MAX(0,SUMIF($D$4:$AM$4,U$4,$D72:$AM72)-T74),0)</f>
        <v>0</v>
      </c>
      <c r="V73" s="45" t="n">
        <f aca="false">IF(V$5=12,taux_is*MAX(0,SUMIF($D$4:$AM$4,V$4,$D72:$AM72)-U74),0)</f>
        <v>0</v>
      </c>
      <c r="W73" s="45" t="n">
        <f aca="false">IF(W$5=12,taux_is*MAX(0,SUMIF($D$4:$AM$4,W$4,$D72:$AM72)-V74),0)</f>
        <v>0</v>
      </c>
      <c r="X73" s="45" t="n">
        <f aca="false">IF(X$5=12,taux_is*MAX(0,SUMIF($D$4:$AM$4,X$4,$D72:$AM72)-W74),0)</f>
        <v>0</v>
      </c>
      <c r="Y73" s="45" t="n">
        <f aca="false">IF(Y$5=12,taux_is*MAX(0,SUMIF($D$4:$AM$4,Y$4,$D72:$AM72)-X74),0)</f>
        <v>0</v>
      </c>
      <c r="Z73" s="45" t="n">
        <f aca="false">IF(Z$5=12,taux_is*MAX(0,SUMIF($D$4:$AM$4,Z$4,$D72:$AM72)-Y74),0)</f>
        <v>0</v>
      </c>
      <c r="AA73" s="45" t="n">
        <f aca="false">IF(AA$5=12,taux_is*MAX(0,SUMIF($D$4:$AM$4,AA$4,$D72:$AM72)-Z74),0)</f>
        <v>0</v>
      </c>
      <c r="AB73" s="45" t="n">
        <f aca="false">IF(AB$5=12,taux_is*MAX(0,SUMIF($D$4:$AM$4,AB$4,$D72:$AM72)-AA74),0)</f>
        <v>0</v>
      </c>
      <c r="AC73" s="45" t="n">
        <f aca="false">IF(AC$5=12,taux_is*MAX(0,SUMIF($D$4:$AM$4,AC$4,$D72:$AM72)-AB74),0)</f>
        <v>0</v>
      </c>
      <c r="AD73" s="45" t="n">
        <f aca="false">IF(AD$5=12,taux_is*MAX(0,SUMIF($D$4:$AM$4,AD$4,$D72:$AM72)-AC74),0)</f>
        <v>0</v>
      </c>
      <c r="AE73" s="45" t="n">
        <f aca="false">IF(AE$5=12,taux_is*MAX(0,SUMIF($D$4:$AM$4,AE$4,$D72:$AM72)-AD74),0)</f>
        <v>0</v>
      </c>
      <c r="AF73" s="45" t="n">
        <f aca="false">IF(AF$5=12,taux_is*MAX(0,SUMIF($D$4:$AM$4,AF$4,$D72:$AM72)-AE74),0)</f>
        <v>0</v>
      </c>
      <c r="AG73" s="45" t="n">
        <f aca="false">IF(AG$5=12,taux_is*MAX(0,SUMIF($D$4:$AM$4,AG$4,$D72:$AM72)-AF74),0)</f>
        <v>0</v>
      </c>
      <c r="AH73" s="45" t="n">
        <f aca="false">IF(AH$5=12,taux_is*MAX(0,SUMIF($D$4:$AM$4,AH$4,$D72:$AM72)-AG74),0)</f>
        <v>0</v>
      </c>
      <c r="AI73" s="45" t="n">
        <f aca="false">IF(AI$5=12,taux_is*MAX(0,SUMIF($D$4:$AM$4,AI$4,$D72:$AM72)-AH74),0)</f>
        <v>0</v>
      </c>
      <c r="AJ73" s="45" t="n">
        <f aca="false">IF(AJ$5=12,taux_is*MAX(0,SUMIF($D$4:$AM$4,AJ$4,$D72:$AM72)-AI74),0)</f>
        <v>0</v>
      </c>
      <c r="AK73" s="45" t="n">
        <f aca="false">IF(AK$5=12,taux_is*MAX(0,SUMIF($D$4:$AM$4,AK$4,$D72:$AM72)-AJ74),0)</f>
        <v>0</v>
      </c>
      <c r="AL73" s="45" t="n">
        <f aca="false">IF(AL$5=12,taux_is*MAX(0,SUMIF($D$4:$AM$4,AL$4,$D72:$AM72)-AK74),0)</f>
        <v>0</v>
      </c>
      <c r="AM73" s="45" t="n">
        <f aca="false">IF(AM$5=12,taux_is*MAX(0,SUMIF($D$4:$AM$4,AM$4,$D72:$AM72)-AL74),0)</f>
        <v>0</v>
      </c>
      <c r="AO73" s="45" t="n">
        <f aca="false">SUMIF($D$4:$AM$4,AO$4,$D73:$AM73)</f>
        <v>0</v>
      </c>
      <c r="AP73" s="45" t="n">
        <f aca="false">SUMIF($D$4:$AM$4,AP$4,$D73:$AM73)</f>
        <v>0</v>
      </c>
      <c r="AQ73" s="45" t="n">
        <f aca="false">SUMIF($D$4:$AM$4,AQ$4,$D73:$AM73)</f>
        <v>0</v>
      </c>
    </row>
    <row r="74" customFormat="false" ht="15" hidden="false" customHeight="false" outlineLevel="0" collapsed="false">
      <c r="A74" s="10" t="s">
        <v>428</v>
      </c>
      <c r="B74" s="13" t="s">
        <v>161</v>
      </c>
      <c r="C74" s="50" t="n">
        <v>0</v>
      </c>
      <c r="D74" s="45" t="n">
        <f aca="false">IF(D$5=12,MAX(0,C74-SUMIF($D$4:$AM$4,D$4,$D72:$AM72)),C74)</f>
        <v>0</v>
      </c>
      <c r="E74" s="45" t="n">
        <f aca="false">IF(E$5=12,MAX(0,D74-SUMIF($D$4:$AM$4,E$4,$D72:$AM72)),D74)</f>
        <v>0</v>
      </c>
      <c r="F74" s="45" t="n">
        <f aca="false">IF(F$5=12,MAX(0,E74-SUMIF($D$4:$AM$4,F$4,$D72:$AM72)),E74)</f>
        <v>0</v>
      </c>
      <c r="G74" s="45" t="n">
        <f aca="false">IF(G$5=12,MAX(0,F74-SUMIF($D$4:$AM$4,G$4,$D72:$AM72)),F74)</f>
        <v>0</v>
      </c>
      <c r="H74" s="45" t="n">
        <f aca="false">IF(H$5=12,MAX(0,G74-SUMIF($D$4:$AM$4,H$4,$D72:$AM72)),G74)</f>
        <v>0</v>
      </c>
      <c r="I74" s="45" t="n">
        <f aca="false">IF(I$5=12,MAX(0,H74-SUMIF($D$4:$AM$4,I$4,$D72:$AM72)),H74)</f>
        <v>0</v>
      </c>
      <c r="J74" s="45" t="n">
        <f aca="false">IF(J$5=12,MAX(0,I74-SUMIF($D$4:$AM$4,J$4,$D72:$AM72)),I74)</f>
        <v>0</v>
      </c>
      <c r="K74" s="45" t="n">
        <f aca="false">IF(K$5=12,MAX(0,J74-SUMIF($D$4:$AM$4,K$4,$D72:$AM72)),J74)</f>
        <v>0</v>
      </c>
      <c r="L74" s="45" t="n">
        <f aca="false">IF(L$5=12,MAX(0,K74-SUMIF($D$4:$AM$4,L$4,$D72:$AM72)),K74)</f>
        <v>0</v>
      </c>
      <c r="M74" s="45" t="n">
        <f aca="false">IF(M$5=12,MAX(0,L74-SUMIF($D$4:$AM$4,M$4,$D72:$AM72)),L74)</f>
        <v>0</v>
      </c>
      <c r="N74" s="45" t="n">
        <f aca="false">IF(N$5=12,MAX(0,M74-SUMIF($D$4:$AM$4,N$4,$D72:$AM72)),M74)</f>
        <v>0</v>
      </c>
      <c r="O74" s="45" t="n">
        <f aca="false">IF(O$5=12,MAX(0,N74-SUMIF($D$4:$AM$4,O$4,$D72:$AM72)),N74)</f>
        <v>204278.318546641</v>
      </c>
      <c r="P74" s="45" t="n">
        <f aca="false">IF(P$5=12,MAX(0,O74-SUMIF($D$4:$AM$4,P$4,$D72:$AM72)),O74)</f>
        <v>204278.318546641</v>
      </c>
      <c r="Q74" s="45" t="n">
        <f aca="false">IF(Q$5=12,MAX(0,P74-SUMIF($D$4:$AM$4,Q$4,$D72:$AM72)),P74)</f>
        <v>204278.318546641</v>
      </c>
      <c r="R74" s="45" t="n">
        <f aca="false">IF(R$5=12,MAX(0,Q74-SUMIF($D$4:$AM$4,R$4,$D72:$AM72)),Q74)</f>
        <v>204278.318546641</v>
      </c>
      <c r="S74" s="45" t="n">
        <f aca="false">IF(S$5=12,MAX(0,R74-SUMIF($D$4:$AM$4,S$4,$D72:$AM72)),R74)</f>
        <v>204278.318546641</v>
      </c>
      <c r="T74" s="45" t="n">
        <f aca="false">IF(T$5=12,MAX(0,S74-SUMIF($D$4:$AM$4,T$4,$D72:$AM72)),S74)</f>
        <v>204278.318546641</v>
      </c>
      <c r="U74" s="45" t="n">
        <f aca="false">IF(U$5=12,MAX(0,T74-SUMIF($D$4:$AM$4,U$4,$D72:$AM72)),T74)</f>
        <v>204278.318546641</v>
      </c>
      <c r="V74" s="45" t="n">
        <f aca="false">IF(V$5=12,MAX(0,U74-SUMIF($D$4:$AM$4,V$4,$D72:$AM72)),U74)</f>
        <v>204278.318546641</v>
      </c>
      <c r="W74" s="45" t="n">
        <f aca="false">IF(W$5=12,MAX(0,V74-SUMIF($D$4:$AM$4,W$4,$D72:$AM72)),V74)</f>
        <v>204278.318546641</v>
      </c>
      <c r="X74" s="45" t="n">
        <f aca="false">IF(X$5=12,MAX(0,W74-SUMIF($D$4:$AM$4,X$4,$D72:$AM72)),W74)</f>
        <v>204278.318546641</v>
      </c>
      <c r="Y74" s="45" t="n">
        <f aca="false">IF(Y$5=12,MAX(0,X74-SUMIF($D$4:$AM$4,Y$4,$D72:$AM72)),X74)</f>
        <v>204278.318546641</v>
      </c>
      <c r="Z74" s="45" t="n">
        <f aca="false">IF(Z$5=12,MAX(0,Y74-SUMIF($D$4:$AM$4,Z$4,$D72:$AM72)),Y74)</f>
        <v>204278.318546641</v>
      </c>
      <c r="AA74" s="45" t="n">
        <f aca="false">IF(AA$5=12,MAX(0,Z74-SUMIF($D$4:$AM$4,AA$4,$D72:$AM72)),Z74)</f>
        <v>300227.823867792</v>
      </c>
      <c r="AB74" s="45" t="n">
        <f aca="false">IF(AB$5=12,MAX(0,AA74-SUMIF($D$4:$AM$4,AB$4,$D72:$AM72)),AA74)</f>
        <v>300227.823867792</v>
      </c>
      <c r="AC74" s="45" t="n">
        <f aca="false">IF(AC$5=12,MAX(0,AB74-SUMIF($D$4:$AM$4,AC$4,$D72:$AM72)),AB74)</f>
        <v>300227.823867792</v>
      </c>
      <c r="AD74" s="45" t="n">
        <f aca="false">IF(AD$5=12,MAX(0,AC74-SUMIF($D$4:$AM$4,AD$4,$D72:$AM72)),AC74)</f>
        <v>300227.823867792</v>
      </c>
      <c r="AE74" s="45" t="n">
        <f aca="false">IF(AE$5=12,MAX(0,AD74-SUMIF($D$4:$AM$4,AE$4,$D72:$AM72)),AD74)</f>
        <v>300227.823867792</v>
      </c>
      <c r="AF74" s="45" t="n">
        <f aca="false">IF(AF$5=12,MAX(0,AE74-SUMIF($D$4:$AM$4,AF$4,$D72:$AM72)),AE74)</f>
        <v>300227.823867792</v>
      </c>
      <c r="AG74" s="45" t="n">
        <f aca="false">IF(AG$5=12,MAX(0,AF74-SUMIF($D$4:$AM$4,AG$4,$D72:$AM72)),AF74)</f>
        <v>300227.823867792</v>
      </c>
      <c r="AH74" s="45" t="n">
        <f aca="false">IF(AH$5=12,MAX(0,AG74-SUMIF($D$4:$AM$4,AH$4,$D72:$AM72)),AG74)</f>
        <v>300227.823867792</v>
      </c>
      <c r="AI74" s="45" t="n">
        <f aca="false">IF(AI$5=12,MAX(0,AH74-SUMIF($D$4:$AM$4,AI$4,$D72:$AM72)),AH74)</f>
        <v>300227.823867792</v>
      </c>
      <c r="AJ74" s="45" t="n">
        <f aca="false">IF(AJ$5=12,MAX(0,AI74-SUMIF($D$4:$AM$4,AJ$4,$D72:$AM72)),AI74)</f>
        <v>300227.823867792</v>
      </c>
      <c r="AK74" s="45" t="n">
        <f aca="false">IF(AK$5=12,MAX(0,AJ74-SUMIF($D$4:$AM$4,AK$4,$D72:$AM72)),AJ74)</f>
        <v>300227.823867792</v>
      </c>
      <c r="AL74" s="45" t="n">
        <f aca="false">IF(AL$5=12,MAX(0,AK74-SUMIF($D$4:$AM$4,AL$4,$D72:$AM72)),AK74)</f>
        <v>300227.823867792</v>
      </c>
      <c r="AM74" s="45" t="n">
        <f aca="false">IF(AM$5=12,MAX(0,AL74-SUMIF($D$4:$AM$4,AM$4,$D72:$AM72)),AL74)</f>
        <v>72799.080721885</v>
      </c>
      <c r="AO74" s="45" t="n">
        <f aca="false">INDEX($D74:$AM74,(AO$4-annee_debut)*12+12)</f>
        <v>204278.318546641</v>
      </c>
      <c r="AP74" s="45" t="n">
        <f aca="false">INDEX($D74:$AM74,(AP$4-annee_debut)*12+12)</f>
        <v>300227.823867792</v>
      </c>
      <c r="AQ74" s="45" t="n">
        <f aca="false">INDEX($D74:$AM74,(AQ$4-annee_debut)*12+12)</f>
        <v>72799.080721885</v>
      </c>
    </row>
    <row r="75" customFormat="false" ht="15" hidden="false" customHeight="false" outlineLevel="0" collapsed="false">
      <c r="A75" s="11" t="s">
        <v>228</v>
      </c>
      <c r="B75" s="13" t="s">
        <v>161</v>
      </c>
      <c r="C75" s="50" t="n">
        <v>0</v>
      </c>
      <c r="D75" s="44" t="n">
        <f aca="false">D72-D73</f>
        <v>-21789.9608412698</v>
      </c>
      <c r="E75" s="44" t="n">
        <f aca="false">E72-E73</f>
        <v>-20937.8801212698</v>
      </c>
      <c r="F75" s="44" t="n">
        <f aca="false">F72-F73</f>
        <v>-18980.3950999153</v>
      </c>
      <c r="G75" s="44" t="n">
        <f aca="false">G72-G73</f>
        <v>-21856.9720366096</v>
      </c>
      <c r="H75" s="44" t="n">
        <f aca="false">H72-H73</f>
        <v>-19754.2079867697</v>
      </c>
      <c r="I75" s="44" t="n">
        <f aca="false">I72-I73</f>
        <v>-17541.6062452239</v>
      </c>
      <c r="J75" s="44" t="n">
        <f aca="false">J72-J73</f>
        <v>-15829.5428218269</v>
      </c>
      <c r="K75" s="44" t="n">
        <f aca="false">K72-K73</f>
        <v>-17027.3838309427</v>
      </c>
      <c r="L75" s="44" t="n">
        <f aca="false">L72-L73</f>
        <v>-12025.6473763407</v>
      </c>
      <c r="M75" s="44" t="n">
        <f aca="false">M72-M73</f>
        <v>-14433.1819568118</v>
      </c>
      <c r="N75" s="44" t="n">
        <f aca="false">N72-N73</f>
        <v>-13126.2015030712</v>
      </c>
      <c r="O75" s="44" t="n">
        <f aca="false">O72-O73</f>
        <v>-10975.3387265893</v>
      </c>
      <c r="P75" s="44" t="n">
        <f aca="false">P72-P73</f>
        <v>-16661.7955345874</v>
      </c>
      <c r="Q75" s="44" t="n">
        <f aca="false">Q72-Q73</f>
        <v>-15963.3589453427</v>
      </c>
      <c r="R75" s="44" t="n">
        <f aca="false">R72-R73</f>
        <v>-11211.7114289799</v>
      </c>
      <c r="S75" s="44" t="n">
        <f aca="false">S72-S73</f>
        <v>-11022.3418405845</v>
      </c>
      <c r="T75" s="44" t="n">
        <f aca="false">T72-T73</f>
        <v>-6477.60635448142</v>
      </c>
      <c r="U75" s="44" t="n">
        <f aca="false">U72-U73</f>
        <v>-4186.15508277025</v>
      </c>
      <c r="V75" s="44" t="n">
        <f aca="false">V72-V73</f>
        <v>-9563.31241526105</v>
      </c>
      <c r="W75" s="44" t="n">
        <f aca="false">W72-W73</f>
        <v>-13734.4751182786</v>
      </c>
      <c r="X75" s="44" t="n">
        <f aca="false">X72-X73</f>
        <v>-5724.54758870185</v>
      </c>
      <c r="Y75" s="44" t="n">
        <f aca="false">Y72-Y73</f>
        <v>-3416.59388986736</v>
      </c>
      <c r="Z75" s="44" t="n">
        <f aca="false">Z72-Z73</f>
        <v>-1344.57885531587</v>
      </c>
      <c r="AA75" s="44" t="n">
        <f aca="false">AA72-AA73</f>
        <v>3356.97173301931</v>
      </c>
      <c r="AB75" s="44" t="n">
        <f aca="false">AB72-AB73</f>
        <v>1289.97547628348</v>
      </c>
      <c r="AC75" s="44" t="n">
        <f aca="false">AC72-AC73</f>
        <v>6475.29372524099</v>
      </c>
      <c r="AD75" s="44" t="n">
        <f aca="false">AD72-AD73</f>
        <v>7858.83442309778</v>
      </c>
      <c r="AE75" s="44" t="n">
        <f aca="false">AE72-AE73</f>
        <v>13951.0018100167</v>
      </c>
      <c r="AF75" s="44" t="n">
        <f aca="false">AF72-AF73</f>
        <v>14865.8200674148</v>
      </c>
      <c r="AG75" s="44" t="n">
        <f aca="false">AG72-AG73</f>
        <v>19311.9374245242</v>
      </c>
      <c r="AH75" s="44" t="n">
        <f aca="false">AH72-AH73</f>
        <v>21751.5917516846</v>
      </c>
      <c r="AI75" s="44" t="n">
        <f aca="false">AI72-AI73</f>
        <v>11104.9101431922</v>
      </c>
      <c r="AJ75" s="44" t="n">
        <f aca="false">AJ72-AJ73</f>
        <v>28638.2995369553</v>
      </c>
      <c r="AK75" s="44" t="n">
        <f aca="false">AK72-AK73</f>
        <v>31269.1932342026</v>
      </c>
      <c r="AL75" s="44" t="n">
        <f aca="false">AL72-AL73</f>
        <v>33314.6191901023</v>
      </c>
      <c r="AM75" s="44" t="n">
        <f aca="false">AM72-AM73</f>
        <v>37597.2663631923</v>
      </c>
      <c r="AO75" s="44" t="n">
        <f aca="false">SUMIF($D$4:$AM$4,AO$4,$D75:$AM75)</f>
        <v>-204278.318546641</v>
      </c>
      <c r="AP75" s="44" t="n">
        <f aca="false">SUMIF($D$4:$AM$4,AP$4,$D75:$AM75)</f>
        <v>-95949.5053211515</v>
      </c>
      <c r="AQ75" s="44" t="n">
        <f aca="false">SUMIF($D$4:$AM$4,AQ$4,$D75:$AM75)</f>
        <v>227428.743145907</v>
      </c>
    </row>
    <row r="76" customFormat="false" ht="15" hidden="false" customHeight="false" outlineLevel="0" collapsed="false">
      <c r="A76" s="5" t="s">
        <v>331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</row>
    <row r="77" customFormat="false" ht="15" hidden="false" customHeight="false" outlineLevel="0" collapsed="false">
      <c r="A77" s="10" t="s">
        <v>429</v>
      </c>
      <c r="B77" s="13" t="s">
        <v>161</v>
      </c>
      <c r="C77" s="50" t="n">
        <v>0</v>
      </c>
      <c r="D77" s="45" t="n">
        <f aca="false">D19*delai_clients_a/jours_mois</f>
        <v>1332.24</v>
      </c>
      <c r="E77" s="45" t="n">
        <f aca="false">E19*delai_clients_a/jours_mois</f>
        <v>3986.06208</v>
      </c>
      <c r="F77" s="45" t="n">
        <f aca="false">F19*delai_clients_a/jours_mois</f>
        <v>6936.4109568</v>
      </c>
      <c r="G77" s="45" t="n">
        <f aca="false">G19*delai_clients_a/jours_mois</f>
        <v>9850.57379492659</v>
      </c>
      <c r="H77" s="45" t="n">
        <f aca="false">H19*delai_clients_a/jours_mois</f>
        <v>12955.8433437293</v>
      </c>
      <c r="I77" s="45" t="n">
        <f aca="false">I19*delai_clients_a/jours_mois</f>
        <v>16187.0506870283</v>
      </c>
      <c r="J77" s="45" t="n">
        <f aca="false">J19*delai_clients_a/jours_mois</f>
        <v>18566.6564642036</v>
      </c>
      <c r="K77" s="45" t="n">
        <f aca="false">K19*delai_clients_a/jours_mois</f>
        <v>16664.9593892417</v>
      </c>
      <c r="L77" s="45" t="n">
        <f aca="false">L19*delai_clients_a/jours_mois</f>
        <v>24088.0556667901</v>
      </c>
      <c r="M77" s="45" t="n">
        <f aca="false">M19*delai_clients_a/jours_mois</f>
        <v>26345.8239906525</v>
      </c>
      <c r="N77" s="45" t="n">
        <f aca="false">N19*delai_clients_a/jours_mois</f>
        <v>28228.324719292</v>
      </c>
      <c r="O77" s="45" t="n">
        <f aca="false">O19*delai_clients_a/jours_mois</f>
        <v>31359.1845228708</v>
      </c>
      <c r="P77" s="45" t="n">
        <f aca="false">P19*delai_clients_a/jours_mois</f>
        <v>33808.7452344842</v>
      </c>
      <c r="Q77" s="45" t="n">
        <f aca="false">Q19*delai_clients_a/jours_mois</f>
        <v>38973.8144726083</v>
      </c>
      <c r="R77" s="45" t="n">
        <f aca="false">R19*delai_clients_a/jours_mois</f>
        <v>46214.6592802817</v>
      </c>
      <c r="S77" s="45" t="n">
        <f aca="false">S19*delai_clients_a/jours_mois</f>
        <v>52485.8844678261</v>
      </c>
      <c r="T77" s="45" t="n">
        <f aca="false">T19*delai_clients_a/jours_mois</f>
        <v>59428.786527222</v>
      </c>
      <c r="U77" s="45" t="n">
        <f aca="false">U19*delai_clients_a/jours_mois</f>
        <v>66616.7982468216</v>
      </c>
      <c r="V77" s="45" t="n">
        <f aca="false">V19*delai_clients_a/jours_mois</f>
        <v>70348.9753627242</v>
      </c>
      <c r="W77" s="45" t="n">
        <f aca="false">W19*delai_clients_a/jours_mois</f>
        <v>59154.4852340066</v>
      </c>
      <c r="X77" s="45" t="n">
        <f aca="false">X19*delai_clients_a/jours_mois</f>
        <v>81095.1400689438</v>
      </c>
      <c r="Y77" s="45" t="n">
        <f aca="false">Y19*delai_clients_a/jours_mois</f>
        <v>84889.9184570743</v>
      </c>
      <c r="Z77" s="45" t="n">
        <f aca="false">Z19*delai_clients_a/jours_mois</f>
        <v>87654.5921319365</v>
      </c>
      <c r="AA77" s="45" t="n">
        <f aca="false">AA19*delai_clients_a/jours_mois</f>
        <v>94347.5693422286</v>
      </c>
      <c r="AB77" s="45" t="n">
        <f aca="false">AB19*delai_clients_a/jours_mois</f>
        <v>96151.5803797861</v>
      </c>
      <c r="AC77" s="45" t="n">
        <f aca="false">AC19*delai_clients_a/jours_mois</f>
        <v>103236.721880748</v>
      </c>
      <c r="AD77" s="45" t="n">
        <f aca="false">AD19*delai_clients_a/jours_mois</f>
        <v>115558.943926795</v>
      </c>
      <c r="AE77" s="45" t="n">
        <f aca="false">AE19*delai_clients_a/jours_mois</f>
        <v>125117.306759252</v>
      </c>
      <c r="AF77" s="45" t="n">
        <f aca="false">AF19*delai_clients_a/jours_mois</f>
        <v>136074.967325017</v>
      </c>
      <c r="AG77" s="45" t="n">
        <f aca="false">AG19*delai_clients_a/jours_mois</f>
        <v>147368.855063301</v>
      </c>
      <c r="AH77" s="45" t="n">
        <f aca="false">AH19*delai_clients_a/jours_mois</f>
        <v>151054.647083358</v>
      </c>
      <c r="AI77" s="45" t="n">
        <f aca="false">AI19*delai_clients_a/jours_mois</f>
        <v>123750.434879452</v>
      </c>
      <c r="AJ77" s="45" t="n">
        <f aca="false">AJ19*delai_clients_a/jours_mois</f>
        <v>165795.610665069</v>
      </c>
      <c r="AK77" s="45" t="n">
        <f aca="false">AK19*delai_clients_a/jours_mois</f>
        <v>170045.20594408</v>
      </c>
      <c r="AL77" s="45" t="n">
        <f aca="false">AL19*delai_clients_a/jours_mois</f>
        <v>172403.833028603</v>
      </c>
      <c r="AM77" s="45" t="n">
        <f aca="false">AM19*delai_clients_a/jours_mois</f>
        <v>182540.730750278</v>
      </c>
      <c r="AO77" s="45" t="n">
        <f aca="false">INDEX($D77:$AM77,(AO$4-annee_debut)*12+12)</f>
        <v>31359.1845228708</v>
      </c>
      <c r="AP77" s="45" t="n">
        <f aca="false">INDEX($D77:$AM77,(AP$4-annee_debut)*12+12)</f>
        <v>94347.5693422286</v>
      </c>
      <c r="AQ77" s="45" t="n">
        <f aca="false">INDEX($D77:$AM77,(AQ$4-annee_debut)*12+12)</f>
        <v>182540.730750278</v>
      </c>
    </row>
    <row r="78" customFormat="false" ht="15" hidden="false" customHeight="false" outlineLevel="0" collapsed="false">
      <c r="A78" s="10" t="s">
        <v>430</v>
      </c>
      <c r="B78" s="13" t="s">
        <v>161</v>
      </c>
      <c r="C78" s="50" t="n">
        <v>0</v>
      </c>
      <c r="D78" s="45" t="n">
        <f aca="false">(D24+D47)*delai_fournisseurs/jours_mois</f>
        <v>9430.931</v>
      </c>
      <c r="E78" s="45" t="n">
        <f aca="false">(E24+E47)*delai_fournisseurs/jours_mois</f>
        <v>10189.745552</v>
      </c>
      <c r="F78" s="45" t="n">
        <f aca="false">(F24+F47)*delai_fournisseurs/jours_mois</f>
        <v>11042.09430272</v>
      </c>
      <c r="G78" s="45" t="n">
        <f aca="false">(G24+G47)*delai_fournisseurs/jours_mois</f>
        <v>11883.6798992642</v>
      </c>
      <c r="H78" s="45" t="n">
        <f aca="false">(H24+H47)*delai_fournisseurs/jours_mois</f>
        <v>12785.7452383074</v>
      </c>
      <c r="I78" s="45" t="n">
        <f aca="false">(I24+I47)*delai_fournisseurs/jours_mois</f>
        <v>13727.8577700124</v>
      </c>
      <c r="J78" s="45" t="n">
        <f aca="false">(J24+J47)*delai_fournisseurs/jours_mois</f>
        <v>14403.5919381898</v>
      </c>
      <c r="K78" s="45" t="n">
        <f aca="false">(K24+K47)*delai_fournisseurs/jours_mois</f>
        <v>13737.8637734737</v>
      </c>
      <c r="L78" s="45" t="n">
        <f aca="false">(L24+L47)*delai_fournisseurs/jours_mois</f>
        <v>15995.6566330628</v>
      </c>
      <c r="M78" s="45" t="n">
        <f aca="false">(M24+M47)*delai_fournisseurs/jours_mois</f>
        <v>17384.8703441888</v>
      </c>
      <c r="N78" s="45" t="n">
        <f aca="false">(N24+N47)*delai_fournisseurs/jours_mois</f>
        <v>17907.0001761508</v>
      </c>
      <c r="O78" s="45" t="n">
        <f aca="false">(O24+O47)*delai_fournisseurs/jours_mois</f>
        <v>18820.9862582364</v>
      </c>
      <c r="P78" s="45" t="n">
        <f aca="false">(P24+P47)*delai_fournisseurs/jours_mois</f>
        <v>20173.026309762</v>
      </c>
      <c r="Q78" s="45" t="n">
        <f aca="false">(Q24+Q47)*delai_fournisseurs/jours_mois</f>
        <v>21649.8885792839</v>
      </c>
      <c r="R78" s="45" t="n">
        <f aca="false">(R24+R47)*delai_fournisseurs/jours_mois</f>
        <v>23778.5641585785</v>
      </c>
      <c r="S78" s="45" t="n">
        <f aca="false">(S24+S47)*delai_fournisseurs/jours_mois</f>
        <v>26369.4296862161</v>
      </c>
      <c r="T78" s="45" t="n">
        <f aca="false">(T24+T47)*delai_fournisseurs/jours_mois</f>
        <v>28406.9594583948</v>
      </c>
      <c r="U78" s="45" t="n">
        <f aca="false">(U24+U47)*delai_fournisseurs/jours_mois</f>
        <v>31134.4321056627</v>
      </c>
      <c r="V78" s="45" t="n">
        <f aca="false">(V24+V47)*delai_fournisseurs/jours_mois</f>
        <v>32167.7350619058</v>
      </c>
      <c r="W78" s="45" t="n">
        <f aca="false">(W24+W47)*delai_fournisseurs/jours_mois</f>
        <v>28523.1946677414</v>
      </c>
      <c r="X78" s="45" t="n">
        <f aca="false">(X24+X47)*delai_fournisseurs/jours_mois</f>
        <v>36031.3317773993</v>
      </c>
      <c r="Y78" s="45" t="n">
        <f aca="false">(Y24+Y47)*delai_fournisseurs/jours_mois</f>
        <v>37087.5098537862</v>
      </c>
      <c r="Z78" s="45" t="n">
        <f aca="false">(Z24+Z47)*delai_fournisseurs/jours_mois</f>
        <v>37821.8564339378</v>
      </c>
      <c r="AA78" s="45" t="n">
        <f aca="false">(AA24+AA47)*delai_fournisseurs/jours_mois</f>
        <v>39788.6332621156</v>
      </c>
      <c r="AB78" s="45" t="n">
        <f aca="false">(AB24+AB47)*delai_fournisseurs/jours_mois</f>
        <v>40914.0424128177</v>
      </c>
      <c r="AC78" s="45" t="n">
        <f aca="false">(AC24+AC47)*delai_fournisseurs/jours_mois</f>
        <v>42939.9161571152</v>
      </c>
      <c r="AD78" s="45" t="n">
        <f aca="false">(AD24+AD47)*delai_fournisseurs/jours_mois</f>
        <v>47389.2735910087</v>
      </c>
      <c r="AE78" s="45" t="n">
        <f aca="false">(AE24+AE47)*delai_fournisseurs/jours_mois</f>
        <v>50193.5153456862</v>
      </c>
      <c r="AF78" s="45" t="n">
        <f aca="false">(AF24+AF47)*delai_fournisseurs/jours_mois</f>
        <v>54842.4586195243</v>
      </c>
      <c r="AG78" s="45" t="n">
        <f aca="false">(AG24+AG47)*delai_fournisseurs/jours_mois</f>
        <v>58193.7793950529</v>
      </c>
      <c r="AH78" s="45" t="n">
        <f aca="false">(AH24+AH47)*delai_fournisseurs/jours_mois</f>
        <v>59161.7658111844</v>
      </c>
      <c r="AI78" s="45" t="n">
        <f aca="false">(AI24+AI47)*delai_fournisseurs/jours_mois</f>
        <v>49636.7767673104</v>
      </c>
      <c r="AJ78" s="45" t="n">
        <f aca="false">(AJ24+AJ47)*delai_fournisseurs/jours_mois</f>
        <v>64192.5405234381</v>
      </c>
      <c r="AK78" s="45" t="n">
        <f aca="false">(AK24+AK47)*delai_fournisseurs/jours_mois</f>
        <v>65341.718520762</v>
      </c>
      <c r="AL78" s="45" t="n">
        <f aca="false">(AL24+AL47)*delai_fournisseurs/jours_mois</f>
        <v>65899.6139720737</v>
      </c>
      <c r="AM78" s="45" t="n">
        <f aca="false">(AM24+AM47)*delai_fournisseurs/jours_mois</f>
        <v>68897.1496512631</v>
      </c>
      <c r="AO78" s="45" t="n">
        <f aca="false">INDEX($D78:$AM78,(AO$4-annee_debut)*12+12)</f>
        <v>18820.9862582364</v>
      </c>
      <c r="AP78" s="45" t="n">
        <f aca="false">INDEX($D78:$AM78,(AP$4-annee_debut)*12+12)</f>
        <v>39788.6332621156</v>
      </c>
      <c r="AQ78" s="45" t="n">
        <f aca="false">INDEX($D78:$AM78,(AQ$4-annee_debut)*12+12)</f>
        <v>68897.1496512631</v>
      </c>
    </row>
    <row r="79" customFormat="false" ht="15" hidden="false" customHeight="false" outlineLevel="0" collapsed="false">
      <c r="A79" s="10" t="s">
        <v>306</v>
      </c>
      <c r="B79" s="13" t="s">
        <v>161</v>
      </c>
      <c r="C79" s="50" t="n">
        <v>0</v>
      </c>
      <c r="D79" s="45" t="n">
        <f aca="false">(D77-C77)-(D78-C78)</f>
        <v>-8098.691</v>
      </c>
      <c r="E79" s="45" t="n">
        <f aca="false">(E77-D77)-(E78-D78)</f>
        <v>1895.007528</v>
      </c>
      <c r="F79" s="45" t="n">
        <f aca="false">(F77-E77)-(F78-E78)</f>
        <v>2098.00012608</v>
      </c>
      <c r="G79" s="45" t="n">
        <f aca="false">(G77-F77)-(G78-F78)</f>
        <v>2072.57724158239</v>
      </c>
      <c r="H79" s="45" t="n">
        <f aca="false">(H77-G77)-(H78-G78)</f>
        <v>2203.20420975947</v>
      </c>
      <c r="I79" s="45" t="n">
        <f aca="false">(I77-H77)-(I78-H78)</f>
        <v>2289.09481159399</v>
      </c>
      <c r="J79" s="45" t="n">
        <f aca="false">(J77-I77)-(J78-I78)</f>
        <v>1703.87160899801</v>
      </c>
      <c r="K79" s="45" t="n">
        <f aca="false">(K77-J77)-(K78-J78)</f>
        <v>-1235.96891024591</v>
      </c>
      <c r="L79" s="45" t="n">
        <f aca="false">(L77-K77)-(L78-K78)</f>
        <v>5165.30341795936</v>
      </c>
      <c r="M79" s="45" t="n">
        <f aca="false">(M77-L77)-(M78-L78)</f>
        <v>868.554612736385</v>
      </c>
      <c r="N79" s="45" t="n">
        <f aca="false">(N77-M77)-(N78-M78)</f>
        <v>1360.37089667752</v>
      </c>
      <c r="O79" s="45" t="n">
        <f aca="false">(O77-N77)-(O78-N78)</f>
        <v>2216.87372149324</v>
      </c>
      <c r="P79" s="45" t="n">
        <f aca="false">(P77-O77)-(P78-O78)</f>
        <v>1097.52066008775</v>
      </c>
      <c r="Q79" s="45" t="n">
        <f aca="false">(Q77-P77)-(Q78-P78)</f>
        <v>3688.20696860223</v>
      </c>
      <c r="R79" s="45" t="n">
        <f aca="false">(R77-Q77)-(R78-Q78)</f>
        <v>5112.16922837872</v>
      </c>
      <c r="S79" s="45" t="n">
        <f aca="false">(S77-R77)-(S78-R78)</f>
        <v>3680.35965990683</v>
      </c>
      <c r="T79" s="45" t="n">
        <f aca="false">(T77-S77)-(T78-S78)</f>
        <v>4905.3722872172</v>
      </c>
      <c r="U79" s="45" t="n">
        <f aca="false">(U77-T77)-(U78-T78)</f>
        <v>4460.53907233173</v>
      </c>
      <c r="V79" s="45" t="n">
        <f aca="false">(V77-U77)-(V78-U78)</f>
        <v>2698.87415965946</v>
      </c>
      <c r="W79" s="45" t="n">
        <f aca="false">(W77-V77)-(W78-V78)</f>
        <v>-7549.94973455316</v>
      </c>
      <c r="X79" s="45" t="n">
        <f aca="false">(X77-W77)-(X78-W78)</f>
        <v>14432.5177252793</v>
      </c>
      <c r="Y79" s="45" t="n">
        <f aca="false">(Y77-X77)-(Y78-X78)</f>
        <v>2738.60031174357</v>
      </c>
      <c r="Z79" s="45" t="n">
        <f aca="false">(Z77-Y77)-(Z78-Y78)</f>
        <v>2030.32709471066</v>
      </c>
      <c r="AA79" s="45" t="n">
        <f aca="false">(AA77-Z77)-(AA78-Z78)</f>
        <v>4726.20038211422</v>
      </c>
      <c r="AB79" s="45" t="n">
        <f aca="false">(AB77-AA77)-(AB78-AA78)</f>
        <v>678.601886855387</v>
      </c>
      <c r="AC79" s="45" t="n">
        <f aca="false">(AC77-AB77)-(AC78-AB78)</f>
        <v>5059.26775666427</v>
      </c>
      <c r="AD79" s="45" t="n">
        <f aca="false">(AD77-AC77)-(AD78-AC78)</f>
        <v>7872.86461215391</v>
      </c>
      <c r="AE79" s="45" t="n">
        <f aca="false">(AE77-AD77)-(AE78-AD78)</f>
        <v>6754.12107777876</v>
      </c>
      <c r="AF79" s="45" t="n">
        <f aca="false">(AF77-AE77)-(AF78-AE78)</f>
        <v>6308.71729192748</v>
      </c>
      <c r="AG79" s="45" t="n">
        <f aca="false">(AG77-AF77)-(AG78-AF78)</f>
        <v>7942.56696275529</v>
      </c>
      <c r="AH79" s="45" t="n">
        <f aca="false">(AH77-AG77)-(AH78-AG78)</f>
        <v>2717.80560392522</v>
      </c>
      <c r="AI79" s="45" t="n">
        <f aca="false">(AI77-AH77)-(AI78-AH78)</f>
        <v>-17779.2231600318</v>
      </c>
      <c r="AJ79" s="45" t="n">
        <f aca="false">(AJ77-AI77)-(AJ78-AI78)</f>
        <v>27489.4120294896</v>
      </c>
      <c r="AK79" s="45" t="n">
        <f aca="false">(AK77-AJ77)-(AK78-AJ78)</f>
        <v>3100.41728168646</v>
      </c>
      <c r="AL79" s="45" t="n">
        <f aca="false">(AL77-AK77)-(AL78-AK78)</f>
        <v>1800.73163321207</v>
      </c>
      <c r="AM79" s="45" t="n">
        <f aca="false">(AM77-AL77)-(AM78-AL78)</f>
        <v>7139.36204248542</v>
      </c>
      <c r="AO79" s="45" t="n">
        <f aca="false">SUMIF($D$4:$AM$4,AO$4,$D79:$AM79)</f>
        <v>12538.1982646344</v>
      </c>
      <c r="AP79" s="45" t="n">
        <f aca="false">SUMIF($D$4:$AM$4,AP$4,$D79:$AM79)</f>
        <v>42020.7378154785</v>
      </c>
      <c r="AQ79" s="45" t="n">
        <f aca="false">SUMIF($D$4:$AM$4,AQ$4,$D79:$AM79)</f>
        <v>59084.645018902</v>
      </c>
    </row>
    <row r="80" customFormat="false" ht="15" hidden="false" customHeight="false" outlineLevel="0" collapsed="false">
      <c r="A80" s="10" t="s">
        <v>288</v>
      </c>
      <c r="B80" s="13" t="s">
        <v>161</v>
      </c>
      <c r="C80" s="50" t="n">
        <v>0</v>
      </c>
      <c r="D80" s="45" t="n">
        <f aca="false">D19-(D77-C77)</f>
        <v>0</v>
      </c>
      <c r="E80" s="45" t="n">
        <f aca="false">E19-(E77-D77)</f>
        <v>1332.24</v>
      </c>
      <c r="F80" s="45" t="n">
        <f aca="false">F19-(F77-E77)</f>
        <v>3986.06208</v>
      </c>
      <c r="G80" s="45" t="n">
        <f aca="false">G19-(G77-F77)</f>
        <v>6936.4109568</v>
      </c>
      <c r="H80" s="45" t="n">
        <f aca="false">H19-(H77-G77)</f>
        <v>9850.57379492659</v>
      </c>
      <c r="I80" s="45" t="n">
        <f aca="false">I19-(I77-H77)</f>
        <v>12955.8433437293</v>
      </c>
      <c r="J80" s="45" t="n">
        <f aca="false">J19-(J77-I77)</f>
        <v>16187.0506870283</v>
      </c>
      <c r="K80" s="45" t="n">
        <f aca="false">K19-(K77-J77)</f>
        <v>18566.6564642036</v>
      </c>
      <c r="L80" s="45" t="n">
        <f aca="false">L19-(L77-K77)</f>
        <v>16664.9593892417</v>
      </c>
      <c r="M80" s="45" t="n">
        <f aca="false">M19-(M77-L77)</f>
        <v>24088.0556667901</v>
      </c>
      <c r="N80" s="45" t="n">
        <f aca="false">N19-(N77-M77)</f>
        <v>26345.8239906525</v>
      </c>
      <c r="O80" s="45" t="n">
        <f aca="false">O19-(O77-N77)</f>
        <v>28228.324719292</v>
      </c>
      <c r="P80" s="45" t="n">
        <f aca="false">P19-(P77-O77)</f>
        <v>31359.1845228708</v>
      </c>
      <c r="Q80" s="45" t="n">
        <f aca="false">Q19-(Q77-P77)</f>
        <v>33808.7452344842</v>
      </c>
      <c r="R80" s="45" t="n">
        <f aca="false">R19-(R77-Q77)</f>
        <v>38973.8144726083</v>
      </c>
      <c r="S80" s="45" t="n">
        <f aca="false">S19-(S77-R77)</f>
        <v>46214.6592802817</v>
      </c>
      <c r="T80" s="45" t="n">
        <f aca="false">T19-(T77-S77)</f>
        <v>52485.8844678261</v>
      </c>
      <c r="U80" s="45" t="n">
        <f aca="false">U19-(U77-T77)</f>
        <v>59428.786527222</v>
      </c>
      <c r="V80" s="45" t="n">
        <f aca="false">V19-(V77-U77)</f>
        <v>66616.7982468216</v>
      </c>
      <c r="W80" s="45" t="n">
        <f aca="false">W19-(W77-V77)</f>
        <v>70348.9753627242</v>
      </c>
      <c r="X80" s="45" t="n">
        <f aca="false">X19-(X77-W77)</f>
        <v>59154.4852340066</v>
      </c>
      <c r="Y80" s="45" t="n">
        <f aca="false">Y19-(Y77-X77)</f>
        <v>81095.1400689438</v>
      </c>
      <c r="Z80" s="45" t="n">
        <f aca="false">Z19-(Z77-Y77)</f>
        <v>84889.9184570743</v>
      </c>
      <c r="AA80" s="45" t="n">
        <f aca="false">AA19-(AA77-Z77)</f>
        <v>87654.5921319365</v>
      </c>
      <c r="AB80" s="45" t="n">
        <f aca="false">AB19-(AB77-AA77)</f>
        <v>94347.5693422286</v>
      </c>
      <c r="AC80" s="45" t="n">
        <f aca="false">AC19-(AC77-AB77)</f>
        <v>96151.5803797861</v>
      </c>
      <c r="AD80" s="45" t="n">
        <f aca="false">AD19-(AD77-AC77)</f>
        <v>103236.721880748</v>
      </c>
      <c r="AE80" s="45" t="n">
        <f aca="false">AE19-(AE77-AD77)</f>
        <v>115558.943926795</v>
      </c>
      <c r="AF80" s="45" t="n">
        <f aca="false">AF19-(AF77-AE77)</f>
        <v>125117.306759252</v>
      </c>
      <c r="AG80" s="45" t="n">
        <f aca="false">AG19-(AG77-AF77)</f>
        <v>136074.967325017</v>
      </c>
      <c r="AH80" s="45" t="n">
        <f aca="false">AH19-(AH77-AG77)</f>
        <v>147368.855063301</v>
      </c>
      <c r="AI80" s="45" t="n">
        <f aca="false">AI19-(AI77-AH77)</f>
        <v>151054.647083358</v>
      </c>
      <c r="AJ80" s="45" t="n">
        <f aca="false">AJ19-(AJ77-AI77)</f>
        <v>123750.434879452</v>
      </c>
      <c r="AK80" s="45" t="n">
        <f aca="false">AK19-(AK77-AJ77)</f>
        <v>165795.610665069</v>
      </c>
      <c r="AL80" s="45" t="n">
        <f aca="false">AL19-(AL77-AK77)</f>
        <v>170045.20594408</v>
      </c>
      <c r="AM80" s="45" t="n">
        <f aca="false">AM19-(AM77-AL77)</f>
        <v>172403.833028603</v>
      </c>
      <c r="AO80" s="45" t="n">
        <f aca="false">SUMIF($D$4:$AM$4,AO$4,$D80:$AM80)</f>
        <v>165142.001092664</v>
      </c>
      <c r="AP80" s="45" t="n">
        <f aca="false">SUMIF($D$4:$AM$4,AP$4,$D80:$AM80)</f>
        <v>712030.9840068</v>
      </c>
      <c r="AQ80" s="45" t="n">
        <f aca="false">SUMIF($D$4:$AM$4,AQ$4,$D80:$AM80)</f>
        <v>1600905.67627769</v>
      </c>
    </row>
    <row r="81" customFormat="false" ht="15" hidden="false" customHeight="false" outlineLevel="0" collapsed="false">
      <c r="A81" s="10" t="s">
        <v>431</v>
      </c>
      <c r="B81" s="13" t="s">
        <v>161</v>
      </c>
      <c r="C81" s="50" t="n">
        <v>0</v>
      </c>
      <c r="D81" s="45" t="n">
        <f aca="false">D24+D47-(D78-C78)</f>
        <v>0</v>
      </c>
      <c r="E81" s="45" t="n">
        <f aca="false">E24+E47-(E78-D78)</f>
        <v>9430.931</v>
      </c>
      <c r="F81" s="45" t="n">
        <f aca="false">F24+F47-(F78-E78)</f>
        <v>10189.745552</v>
      </c>
      <c r="G81" s="45" t="n">
        <f aca="false">G24+G47-(G78-F78)</f>
        <v>11042.09430272</v>
      </c>
      <c r="H81" s="45" t="n">
        <f aca="false">H24+H47-(H78-G78)</f>
        <v>11883.6798992642</v>
      </c>
      <c r="I81" s="45" t="n">
        <f aca="false">I24+I47-(I78-H78)</f>
        <v>12785.7452383074</v>
      </c>
      <c r="J81" s="45" t="n">
        <f aca="false">J24+J47-(J78-I78)</f>
        <v>13727.8577700124</v>
      </c>
      <c r="K81" s="45" t="n">
        <f aca="false">K24+K47-(K78-J78)</f>
        <v>14403.5919381898</v>
      </c>
      <c r="L81" s="45" t="n">
        <f aca="false">L24+L47-(L78-K78)</f>
        <v>13737.8637734737</v>
      </c>
      <c r="M81" s="45" t="n">
        <f aca="false">M24+M47-(M78-L78)</f>
        <v>15995.6566330628</v>
      </c>
      <c r="N81" s="45" t="n">
        <f aca="false">N24+N47-(N78-M78)</f>
        <v>17384.8703441888</v>
      </c>
      <c r="O81" s="45" t="n">
        <f aca="false">O24+O47-(O78-N78)</f>
        <v>17907.0001761508</v>
      </c>
      <c r="P81" s="45" t="n">
        <f aca="false">P24+P47-(P78-O78)</f>
        <v>18820.9862582364</v>
      </c>
      <c r="Q81" s="45" t="n">
        <f aca="false">Q24+Q47-(Q78-P78)</f>
        <v>20173.026309762</v>
      </c>
      <c r="R81" s="45" t="n">
        <f aca="false">R24+R47-(R78-Q78)</f>
        <v>21649.8885792839</v>
      </c>
      <c r="S81" s="45" t="n">
        <f aca="false">S24+S47-(S78-R78)</f>
        <v>23778.5641585785</v>
      </c>
      <c r="T81" s="45" t="n">
        <f aca="false">T24+T47-(T78-S78)</f>
        <v>26369.4296862161</v>
      </c>
      <c r="U81" s="45" t="n">
        <f aca="false">U24+U47-(U78-T78)</f>
        <v>28406.9594583948</v>
      </c>
      <c r="V81" s="45" t="n">
        <f aca="false">V24+V47-(V78-U78)</f>
        <v>31134.4321056627</v>
      </c>
      <c r="W81" s="45" t="n">
        <f aca="false">W24+W47-(W78-V78)</f>
        <v>32167.7350619058</v>
      </c>
      <c r="X81" s="45" t="n">
        <f aca="false">X24+X47-(X78-W78)</f>
        <v>28523.1946677414</v>
      </c>
      <c r="Y81" s="45" t="n">
        <f aca="false">Y24+Y47-(Y78-X78)</f>
        <v>36031.3317773993</v>
      </c>
      <c r="Z81" s="45" t="n">
        <f aca="false">Z24+Z47-(Z78-Y78)</f>
        <v>37087.5098537862</v>
      </c>
      <c r="AA81" s="45" t="n">
        <f aca="false">AA24+AA47-(AA78-Z78)</f>
        <v>37821.8564339378</v>
      </c>
      <c r="AB81" s="45" t="n">
        <f aca="false">AB24+AB47-(AB78-AA78)</f>
        <v>39788.6332621156</v>
      </c>
      <c r="AC81" s="45" t="n">
        <f aca="false">AC24+AC47-(AC78-AB78)</f>
        <v>40914.0424128177</v>
      </c>
      <c r="AD81" s="45" t="n">
        <f aca="false">AD24+AD47-(AD78-AC78)</f>
        <v>42939.9161571152</v>
      </c>
      <c r="AE81" s="45" t="n">
        <f aca="false">AE24+AE47-(AE78-AD78)</f>
        <v>47389.2735910087</v>
      </c>
      <c r="AF81" s="45" t="n">
        <f aca="false">AF24+AF47-(AF78-AE78)</f>
        <v>50193.5153456862</v>
      </c>
      <c r="AG81" s="45" t="n">
        <f aca="false">AG24+AG47-(AG78-AF78)</f>
        <v>54842.4586195243</v>
      </c>
      <c r="AH81" s="45" t="n">
        <f aca="false">AH24+AH47-(AH78-AG78)</f>
        <v>58193.7793950529</v>
      </c>
      <c r="AI81" s="45" t="n">
        <f aca="false">AI24+AI47-(AI78-AH78)</f>
        <v>59161.7658111844</v>
      </c>
      <c r="AJ81" s="45" t="n">
        <f aca="false">AJ24+AJ47-(AJ78-AI78)</f>
        <v>49636.7767673104</v>
      </c>
      <c r="AK81" s="45" t="n">
        <f aca="false">AK24+AK47-(AK78-AJ78)</f>
        <v>64192.5405234381</v>
      </c>
      <c r="AL81" s="45" t="n">
        <f aca="false">AL24+AL47-(AL78-AK78)</f>
        <v>65341.718520762</v>
      </c>
      <c r="AM81" s="45" t="n">
        <f aca="false">AM24+AM47-(AM78-AL78)</f>
        <v>65899.6139720737</v>
      </c>
      <c r="AO81" s="45" t="n">
        <f aca="false">SUMIF($D$4:$AM$4,AO$4,$D81:$AM81)</f>
        <v>148489.03662737</v>
      </c>
      <c r="AP81" s="45" t="n">
        <f aca="false">SUMIF($D$4:$AM$4,AP$4,$D81:$AM81)</f>
        <v>341964.914350905</v>
      </c>
      <c r="AQ81" s="45" t="n">
        <f aca="false">SUMIF($D$4:$AM$4,AQ$4,$D81:$AM81)</f>
        <v>638494.034378089</v>
      </c>
    </row>
    <row r="82" customFormat="false" ht="15" hidden="false" customHeight="false" outlineLevel="0" collapsed="false">
      <c r="A82" s="11" t="s">
        <v>432</v>
      </c>
      <c r="B82" s="13" t="s">
        <v>161</v>
      </c>
      <c r="C82" s="50" t="n">
        <v>0</v>
      </c>
      <c r="D82" s="44" t="n">
        <f aca="false">D48-D79-D73</f>
        <v>-10833.3333333333</v>
      </c>
      <c r="E82" s="44" t="n">
        <f aca="false">E48-E79-E73</f>
        <v>-18932.0243333333</v>
      </c>
      <c r="F82" s="44" t="n">
        <f aca="false">F48-F79-F73</f>
        <v>-17037.0168053333</v>
      </c>
      <c r="G82" s="44" t="n">
        <f aca="false">G48-G79-G73</f>
        <v>-19772.3500125867</v>
      </c>
      <c r="H82" s="44" t="n">
        <f aca="false">H48-H79-H73</f>
        <v>-17699.7727710043</v>
      </c>
      <c r="I82" s="44" t="n">
        <f aca="false">I48-I79-I73</f>
        <v>-15496.5685612448</v>
      </c>
      <c r="J82" s="44" t="n">
        <f aca="false">J48-J79-J73</f>
        <v>-13207.4737496508</v>
      </c>
      <c r="K82" s="44" t="n">
        <f aca="false">K48-K79-K73</f>
        <v>-11503.6021406528</v>
      </c>
      <c r="L82" s="44" t="n">
        <f aca="false">L48-L79-L73</f>
        <v>-12739.5710508987</v>
      </c>
      <c r="M82" s="44" t="n">
        <f aca="false">M48-M79-M73</f>
        <v>-10574.2676329394</v>
      </c>
      <c r="N82" s="44" t="n">
        <f aca="false">N48-N79-N73</f>
        <v>-9705.71302020299</v>
      </c>
      <c r="O82" s="44" t="n">
        <f aca="false">O48-O79-O73</f>
        <v>-8345.34212352546</v>
      </c>
      <c r="P82" s="44" t="n">
        <f aca="false">P48-P79-P73</f>
        <v>-12821.8017353656</v>
      </c>
      <c r="Q82" s="44" t="n">
        <f aca="false">Q48-Q79-Q73</f>
        <v>-14614.2810752778</v>
      </c>
      <c r="R82" s="44" t="n">
        <f aca="false">R48-R79-R73</f>
        <v>-10926.0741066756</v>
      </c>
      <c r="S82" s="44" t="n">
        <f aca="false">S48-S79-S73</f>
        <v>-8873.90487829688</v>
      </c>
      <c r="T82" s="44" t="n">
        <f aca="false">T48-T79-T73</f>
        <v>-5193.54521839003</v>
      </c>
      <c r="U82" s="44" t="n">
        <f aca="false">U48-U79-U73</f>
        <v>-288.172931172834</v>
      </c>
      <c r="V82" s="44" t="n">
        <f aca="false">V48-V79-V73</f>
        <v>-3647.6338588411</v>
      </c>
      <c r="W82" s="44" t="n">
        <f aca="false">W48-W79-W73</f>
        <v>1941.24030081836</v>
      </c>
      <c r="X82" s="44" t="n">
        <f aca="false">X48-X79-X73</f>
        <v>-11558.7094337348</v>
      </c>
      <c r="Y82" s="44" t="n">
        <f aca="false">Y48-Y79-Y73</f>
        <v>2873.80829154451</v>
      </c>
      <c r="Z82" s="44" t="n">
        <f aca="false">Z48-Z79-Z73</f>
        <v>5612.40860328808</v>
      </c>
      <c r="AA82" s="44" t="n">
        <f aca="false">AA48-AA79-AA73</f>
        <v>7642.73569799875</v>
      </c>
      <c r="AB82" s="44" t="n">
        <f aca="false">AB48-AB79-AB73</f>
        <v>9665.13608011296</v>
      </c>
      <c r="AC82" s="44" t="n">
        <f aca="false">AC48-AC79-AC73</f>
        <v>10343.7379669683</v>
      </c>
      <c r="AD82" s="44" t="n">
        <f aca="false">AD48-AD79-AD73</f>
        <v>9334.00572363262</v>
      </c>
      <c r="AE82" s="44" t="n">
        <f aca="false">AE48-AE79-AE73</f>
        <v>17206.8703357865</v>
      </c>
      <c r="AF82" s="44" t="n">
        <f aca="false">AF48-AF79-AF73</f>
        <v>20839.7914135653</v>
      </c>
      <c r="AG82" s="44" t="n">
        <f aca="false">AG48-AG79-AG73</f>
        <v>24200.7087054928</v>
      </c>
      <c r="AH82" s="44" t="n">
        <f aca="false">AH48-AH79-AH73</f>
        <v>32143.275668248</v>
      </c>
      <c r="AI82" s="44" t="n">
        <f aca="false">AI48-AI79-AI73</f>
        <v>40930.0812721733</v>
      </c>
      <c r="AJ82" s="44" t="n">
        <f aca="false">AJ48-AJ79-AJ73</f>
        <v>13960.6581121415</v>
      </c>
      <c r="AK82" s="44" t="n">
        <f aca="false">AK48-AK79-AK73</f>
        <v>41450.070141631</v>
      </c>
      <c r="AL82" s="44" t="n">
        <f aca="false">AL48-AL79-AL73</f>
        <v>44550.4874233175</v>
      </c>
      <c r="AM82" s="44" t="n">
        <f aca="false">AM48-AM79-AM73</f>
        <v>43403.4190565296</v>
      </c>
      <c r="AO82" s="44" t="n">
        <f aca="false">SUMIF($D$4:$AM$4,AO$4,$D82:$AM82)</f>
        <v>-165847.035534706</v>
      </c>
      <c r="AP82" s="44" t="n">
        <f aca="false">SUMIF($D$4:$AM$4,AP$4,$D82:$AM82)</f>
        <v>-49853.9303441049</v>
      </c>
      <c r="AQ82" s="44" t="n">
        <f aca="false">SUMIF($D$4:$AM$4,AQ$4,$D82:$AM82)</f>
        <v>308028.241899599</v>
      </c>
    </row>
    <row r="83" customFormat="false" ht="15" hidden="false" customHeight="false" outlineLevel="0" collapsed="false">
      <c r="A83" s="11" t="s">
        <v>294</v>
      </c>
      <c r="B83" s="13" t="s">
        <v>161</v>
      </c>
      <c r="C83" s="50" t="n">
        <v>0</v>
      </c>
      <c r="D83" s="44" t="n">
        <f aca="false">-D56</f>
        <v>-237600</v>
      </c>
      <c r="E83" s="44" t="n">
        <f aca="false">-E56</f>
        <v>-0</v>
      </c>
      <c r="F83" s="44" t="n">
        <f aca="false">-F56</f>
        <v>-0</v>
      </c>
      <c r="G83" s="44" t="n">
        <f aca="false">-G56</f>
        <v>-0</v>
      </c>
      <c r="H83" s="44" t="n">
        <f aca="false">-H56</f>
        <v>-0</v>
      </c>
      <c r="I83" s="44" t="n">
        <f aca="false">-I56</f>
        <v>-78.2845786973329</v>
      </c>
      <c r="J83" s="44" t="n">
        <f aca="false">-J56</f>
        <v>-2553.69477053521</v>
      </c>
      <c r="K83" s="44" t="n">
        <f aca="false">-K56</f>
        <v>-0</v>
      </c>
      <c r="L83" s="44" t="n">
        <f aca="false">-L56</f>
        <v>-6016.63712909063</v>
      </c>
      <c r="M83" s="44" t="n">
        <f aca="false">-M56</f>
        <v>-2415.67881014491</v>
      </c>
      <c r="N83" s="44" t="n">
        <f aca="false">-N56</f>
        <v>-1973.20230974584</v>
      </c>
      <c r="O83" s="44" t="n">
        <f aca="false">-O56</f>
        <v>-3454.08237156285</v>
      </c>
      <c r="P83" s="44" t="n">
        <f aca="false">-P56</f>
        <v>-1759.64491434532</v>
      </c>
      <c r="Q83" s="44" t="n">
        <f aca="false">-Q56</f>
        <v>-5581.27090813187</v>
      </c>
      <c r="R83" s="44" t="n">
        <f aca="false">-R56</f>
        <v>-8044.56537942029</v>
      </c>
      <c r="S83" s="44" t="n">
        <f aca="false">-S56</f>
        <v>-6900.20346640947</v>
      </c>
      <c r="T83" s="44" t="n">
        <f aca="false">-T56</f>
        <v>-7700.11251326427</v>
      </c>
      <c r="U83" s="44" t="n">
        <f aca="false">-U56</f>
        <v>-157994.669636301</v>
      </c>
      <c r="V83" s="44" t="n">
        <f aca="false">-V56</f>
        <v>-3904.99767512733</v>
      </c>
      <c r="W83" s="44" t="n">
        <f aca="false">-W56</f>
        <v>-0</v>
      </c>
      <c r="X83" s="44" t="n">
        <f aca="false">-X56</f>
        <v>-11710.0342131532</v>
      </c>
      <c r="Y83" s="44" t="n">
        <f aca="false">-Y56</f>
        <v>-3991.44598192842</v>
      </c>
      <c r="Z83" s="44" t="n">
        <f aca="false">-Z56</f>
        <v>-2775.19934584889</v>
      </c>
      <c r="AA83" s="44" t="n">
        <f aca="false">-AA56</f>
        <v>-7432.72715434074</v>
      </c>
      <c r="AB83" s="44" t="n">
        <f aca="false">-AB56</f>
        <v>-0</v>
      </c>
      <c r="AC83" s="44" t="n">
        <f aca="false">-AC56</f>
        <v>-6935.89632840788</v>
      </c>
      <c r="AD83" s="44" t="n">
        <f aca="false">-AD56</f>
        <v>-13865.8857624442</v>
      </c>
      <c r="AE83" s="44" t="n">
        <f aca="false">-AE56</f>
        <v>-10597.6252814808</v>
      </c>
      <c r="AF83" s="44" t="n">
        <f aca="false">-AF56</f>
        <v>-162261.057771069</v>
      </c>
      <c r="AG83" s="44" t="n">
        <f aca="false">-AG56</f>
        <v>-12665.1140964762</v>
      </c>
      <c r="AH83" s="44" t="n">
        <f aca="false">-AH56</f>
        <v>-3658.15725360104</v>
      </c>
      <c r="AI83" s="44" t="n">
        <f aca="false">-AI56</f>
        <v>-0</v>
      </c>
      <c r="AJ83" s="44" t="n">
        <f aca="false">-AJ56</f>
        <v>-16063.1436978424</v>
      </c>
      <c r="AK83" s="44" t="n">
        <f aca="false">-AK56</f>
        <v>-4342.90580583762</v>
      </c>
      <c r="AL83" s="44" t="n">
        <f aca="false">-AL56</f>
        <v>-2108.36563195091</v>
      </c>
      <c r="AM83" s="44" t="n">
        <f aca="false">-AM56</f>
        <v>-11328.1102968137</v>
      </c>
      <c r="AO83" s="44" t="n">
        <f aca="false">SUMIF($D$4:$AM$4,AO$4,$D83:$AM83)</f>
        <v>-254091.579969777</v>
      </c>
      <c r="AP83" s="44" t="n">
        <f aca="false">SUMIF($D$4:$AM$4,AP$4,$D83:$AM83)</f>
        <v>-217794.871188271</v>
      </c>
      <c r="AQ83" s="44" t="n">
        <f aca="false">SUMIF($D$4:$AM$4,AQ$4,$D83:$AM83)</f>
        <v>-243826.261925924</v>
      </c>
    </row>
    <row r="84" customFormat="false" ht="15" hidden="false" customHeight="false" outlineLevel="0" collapsed="false">
      <c r="A84" s="10" t="s">
        <v>295</v>
      </c>
      <c r="B84" s="13" t="s">
        <v>161</v>
      </c>
      <c r="C84" s="50" t="n">
        <v>0</v>
      </c>
      <c r="D84" s="45" t="n">
        <f aca="false">IF(D$6=mois_apport,apport+comptes_courants,0)+IF(D$6=mois_levee,levee,0)</f>
        <v>800000</v>
      </c>
      <c r="E84" s="45" t="n">
        <f aca="false">IF(E$6=mois_apport,apport+comptes_courants,0)+IF(E$6=mois_levee,levee,0)</f>
        <v>0</v>
      </c>
      <c r="F84" s="45" t="n">
        <f aca="false">IF(F$6=mois_apport,apport+comptes_courants,0)+IF(F$6=mois_levee,levee,0)</f>
        <v>0</v>
      </c>
      <c r="G84" s="45" t="n">
        <f aca="false">IF(G$6=mois_apport,apport+comptes_courants,0)+IF(G$6=mois_levee,levee,0)</f>
        <v>0</v>
      </c>
      <c r="H84" s="45" t="n">
        <f aca="false">IF(H$6=mois_apport,apport+comptes_courants,0)+IF(H$6=mois_levee,levee,0)</f>
        <v>0</v>
      </c>
      <c r="I84" s="45" t="n">
        <f aca="false">IF(I$6=mois_apport,apport+comptes_courants,0)+IF(I$6=mois_levee,levee,0)</f>
        <v>0</v>
      </c>
      <c r="J84" s="45" t="n">
        <f aca="false">IF(J$6=mois_apport,apport+comptes_courants,0)+IF(J$6=mois_levee,levee,0)</f>
        <v>0</v>
      </c>
      <c r="K84" s="45" t="n">
        <f aca="false">IF(K$6=mois_apport,apport+comptes_courants,0)+IF(K$6=mois_levee,levee,0)</f>
        <v>0</v>
      </c>
      <c r="L84" s="45" t="n">
        <f aca="false">IF(L$6=mois_apport,apport+comptes_courants,0)+IF(L$6=mois_levee,levee,0)</f>
        <v>0</v>
      </c>
      <c r="M84" s="45" t="n">
        <f aca="false">IF(M$6=mois_apport,apport+comptes_courants,0)+IF(M$6=mois_levee,levee,0)</f>
        <v>0</v>
      </c>
      <c r="N84" s="45" t="n">
        <f aca="false">IF(N$6=mois_apport,apport+comptes_courants,0)+IF(N$6=mois_levee,levee,0)</f>
        <v>0</v>
      </c>
      <c r="O84" s="45" t="n">
        <f aca="false">IF(O$6=mois_apport,apport+comptes_courants,0)+IF(O$6=mois_levee,levee,0)</f>
        <v>0</v>
      </c>
      <c r="P84" s="45" t="n">
        <f aca="false">IF(P$6=mois_apport,apport+comptes_courants,0)+IF(P$6=mois_levee,levee,0)</f>
        <v>0</v>
      </c>
      <c r="Q84" s="45" t="n">
        <f aca="false">IF(Q$6=mois_apport,apport+comptes_courants,0)+IF(Q$6=mois_levee,levee,0)</f>
        <v>0</v>
      </c>
      <c r="R84" s="45" t="n">
        <f aca="false">IF(R$6=mois_apport,apport+comptes_courants,0)+IF(R$6=mois_levee,levee,0)</f>
        <v>0</v>
      </c>
      <c r="S84" s="45" t="n">
        <f aca="false">IF(S$6=mois_apport,apport+comptes_courants,0)+IF(S$6=mois_levee,levee,0)</f>
        <v>0</v>
      </c>
      <c r="T84" s="45" t="n">
        <f aca="false">IF(T$6=mois_apport,apport+comptes_courants,0)+IF(T$6=mois_levee,levee,0)</f>
        <v>0</v>
      </c>
      <c r="U84" s="45" t="n">
        <f aca="false">IF(U$6=mois_apport,apport+comptes_courants,0)+IF(U$6=mois_levee,levee,0)</f>
        <v>0</v>
      </c>
      <c r="V84" s="45" t="n">
        <f aca="false">IF(V$6=mois_apport,apport+comptes_courants,0)+IF(V$6=mois_levee,levee,0)</f>
        <v>0</v>
      </c>
      <c r="W84" s="45" t="n">
        <f aca="false">IF(W$6=mois_apport,apport+comptes_courants,0)+IF(W$6=mois_levee,levee,0)</f>
        <v>0</v>
      </c>
      <c r="X84" s="45" t="n">
        <f aca="false">IF(X$6=mois_apport,apport+comptes_courants,0)+IF(X$6=mois_levee,levee,0)</f>
        <v>0</v>
      </c>
      <c r="Y84" s="45" t="n">
        <f aca="false">IF(Y$6=mois_apport,apport+comptes_courants,0)+IF(Y$6=mois_levee,levee,0)</f>
        <v>0</v>
      </c>
      <c r="Z84" s="45" t="n">
        <f aca="false">IF(Z$6=mois_apport,apport+comptes_courants,0)+IF(Z$6=mois_levee,levee,0)</f>
        <v>0</v>
      </c>
      <c r="AA84" s="45" t="n">
        <f aca="false">IF(AA$6=mois_apport,apport+comptes_courants,0)+IF(AA$6=mois_levee,levee,0)</f>
        <v>0</v>
      </c>
      <c r="AB84" s="45" t="n">
        <f aca="false">IF(AB$6=mois_apport,apport+comptes_courants,0)+IF(AB$6=mois_levee,levee,0)</f>
        <v>0</v>
      </c>
      <c r="AC84" s="45" t="n">
        <f aca="false">IF(AC$6=mois_apport,apport+comptes_courants,0)+IF(AC$6=mois_levee,levee,0)</f>
        <v>0</v>
      </c>
      <c r="AD84" s="45" t="n">
        <f aca="false">IF(AD$6=mois_apport,apport+comptes_courants,0)+IF(AD$6=mois_levee,levee,0)</f>
        <v>0</v>
      </c>
      <c r="AE84" s="45" t="n">
        <f aca="false">IF(AE$6=mois_apport,apport+comptes_courants,0)+IF(AE$6=mois_levee,levee,0)</f>
        <v>0</v>
      </c>
      <c r="AF84" s="45" t="n">
        <f aca="false">IF(AF$6=mois_apport,apport+comptes_courants,0)+IF(AF$6=mois_levee,levee,0)</f>
        <v>0</v>
      </c>
      <c r="AG84" s="45" t="n">
        <f aca="false">IF(AG$6=mois_apport,apport+comptes_courants,0)+IF(AG$6=mois_levee,levee,0)</f>
        <v>0</v>
      </c>
      <c r="AH84" s="45" t="n">
        <f aca="false">IF(AH$6=mois_apport,apport+comptes_courants,0)+IF(AH$6=mois_levee,levee,0)</f>
        <v>0</v>
      </c>
      <c r="AI84" s="45" t="n">
        <f aca="false">IF(AI$6=mois_apport,apport+comptes_courants,0)+IF(AI$6=mois_levee,levee,0)</f>
        <v>0</v>
      </c>
      <c r="AJ84" s="45" t="n">
        <f aca="false">IF(AJ$6=mois_apport,apport+comptes_courants,0)+IF(AJ$6=mois_levee,levee,0)</f>
        <v>0</v>
      </c>
      <c r="AK84" s="45" t="n">
        <f aca="false">IF(AK$6=mois_apport,apport+comptes_courants,0)+IF(AK$6=mois_levee,levee,0)</f>
        <v>0</v>
      </c>
      <c r="AL84" s="45" t="n">
        <f aca="false">IF(AL$6=mois_apport,apport+comptes_courants,0)+IF(AL$6=mois_levee,levee,0)</f>
        <v>0</v>
      </c>
      <c r="AM84" s="45" t="n">
        <f aca="false">IF(AM$6=mois_apport,apport+comptes_courants,0)+IF(AM$6=mois_levee,levee,0)</f>
        <v>0</v>
      </c>
      <c r="AO84" s="45" t="n">
        <f aca="false">SUMIF($D$4:$AM$4,AO$4,$D84:$AM84)</f>
        <v>800000</v>
      </c>
      <c r="AP84" s="45" t="n">
        <f aca="false">SUMIF($D$4:$AM$4,AP$4,$D84:$AM84)</f>
        <v>0</v>
      </c>
      <c r="AQ84" s="45" t="n">
        <f aca="false">SUMIF($D$4:$AM$4,AQ$4,$D84:$AM84)</f>
        <v>0</v>
      </c>
    </row>
    <row r="85" customFormat="false" ht="15" hidden="false" customHeight="false" outlineLevel="0" collapsed="false">
      <c r="A85" s="10" t="s">
        <v>433</v>
      </c>
      <c r="B85" s="13" t="s">
        <v>161</v>
      </c>
      <c r="C85" s="50" t="n">
        <v>0</v>
      </c>
      <c r="D85" s="45" t="n">
        <f aca="false">IF(AND(D$6=mois_tranche,D35=1),tranche,0)</f>
        <v>0</v>
      </c>
      <c r="E85" s="45" t="n">
        <f aca="false">IF(AND(E$6=mois_tranche,E35=1),tranche,0)</f>
        <v>0</v>
      </c>
      <c r="F85" s="45" t="n">
        <f aca="false">IF(AND(F$6=mois_tranche,F35=1),tranche,0)</f>
        <v>0</v>
      </c>
      <c r="G85" s="45" t="n">
        <f aca="false">IF(AND(G$6=mois_tranche,G35=1),tranche,0)</f>
        <v>0</v>
      </c>
      <c r="H85" s="45" t="n">
        <f aca="false">IF(AND(H$6=mois_tranche,H35=1),tranche,0)</f>
        <v>0</v>
      </c>
      <c r="I85" s="45" t="n">
        <f aca="false">IF(AND(I$6=mois_tranche,I35=1),tranche,0)</f>
        <v>0</v>
      </c>
      <c r="J85" s="45" t="n">
        <f aca="false">IF(AND(J$6=mois_tranche,J35=1),tranche,0)</f>
        <v>0</v>
      </c>
      <c r="K85" s="45" t="n">
        <f aca="false">IF(AND(K$6=mois_tranche,K35=1),tranche,0)</f>
        <v>0</v>
      </c>
      <c r="L85" s="45" t="n">
        <f aca="false">IF(AND(L$6=mois_tranche,L35=1),tranche,0)</f>
        <v>0</v>
      </c>
      <c r="M85" s="45" t="n">
        <f aca="false">IF(AND(M$6=mois_tranche,M35=1),tranche,0)</f>
        <v>0</v>
      </c>
      <c r="N85" s="45" t="n">
        <f aca="false">IF(AND(N$6=mois_tranche,N35=1),tranche,0)</f>
        <v>0</v>
      </c>
      <c r="O85" s="45" t="n">
        <f aca="false">IF(AND(O$6=mois_tranche,O35=1),tranche,0)</f>
        <v>0</v>
      </c>
      <c r="P85" s="45" t="n">
        <f aca="false">IF(AND(P$6=mois_tranche,P35=1),tranche,0)</f>
        <v>0</v>
      </c>
      <c r="Q85" s="45" t="n">
        <f aca="false">IF(AND(Q$6=mois_tranche,Q35=1),tranche,0)</f>
        <v>0</v>
      </c>
      <c r="R85" s="45" t="n">
        <f aca="false">IF(AND(R$6=mois_tranche,R35=1),tranche,0)</f>
        <v>0</v>
      </c>
      <c r="S85" s="45" t="n">
        <f aca="false">IF(AND(S$6=mois_tranche,S35=1),tranche,0)</f>
        <v>0</v>
      </c>
      <c r="T85" s="45" t="n">
        <f aca="false">IF(AND(T$6=mois_tranche,T35=1),tranche,0)</f>
        <v>0</v>
      </c>
      <c r="U85" s="45" t="n">
        <f aca="false">IF(AND(U$6=mois_tranche,U35=1),tranche,0)</f>
        <v>0</v>
      </c>
      <c r="V85" s="45" t="n">
        <f aca="false">IF(AND(V$6=mois_tranche,V35=1),tranche,0)</f>
        <v>0</v>
      </c>
      <c r="W85" s="45" t="n">
        <f aca="false">IF(AND(W$6=mois_tranche,W35=1),tranche,0)</f>
        <v>0</v>
      </c>
      <c r="X85" s="45" t="n">
        <f aca="false">IF(AND(X$6=mois_tranche,X35=1),tranche,0)</f>
        <v>0</v>
      </c>
      <c r="Y85" s="45" t="n">
        <f aca="false">IF(AND(Y$6=mois_tranche,Y35=1),tranche,0)</f>
        <v>0</v>
      </c>
      <c r="Z85" s="45" t="n">
        <f aca="false">IF(AND(Z$6=mois_tranche,Z35=1),tranche,0)</f>
        <v>0</v>
      </c>
      <c r="AA85" s="45" t="n">
        <f aca="false">IF(AND(AA$6=mois_tranche,AA35=1),tranche,0)</f>
        <v>0</v>
      </c>
      <c r="AB85" s="45" t="n">
        <f aca="false">IF(AND(AB$6=mois_tranche,AB35=1),tranche,0)</f>
        <v>0</v>
      </c>
      <c r="AC85" s="45" t="n">
        <f aca="false">IF(AND(AC$6=mois_tranche,AC35=1),tranche,0)</f>
        <v>0</v>
      </c>
      <c r="AD85" s="45" t="n">
        <f aca="false">IF(AND(AD$6=mois_tranche,AD35=1),tranche,0)</f>
        <v>0</v>
      </c>
      <c r="AE85" s="45" t="n">
        <f aca="false">IF(AND(AE$6=mois_tranche,AE35=1),tranche,0)</f>
        <v>0</v>
      </c>
      <c r="AF85" s="45" t="n">
        <f aca="false">IF(AND(AF$6=mois_tranche,AF35=1),tranche,0)</f>
        <v>0</v>
      </c>
      <c r="AG85" s="45" t="n">
        <f aca="false">IF(AND(AG$6=mois_tranche,AG35=1),tranche,0)</f>
        <v>0</v>
      </c>
      <c r="AH85" s="45" t="n">
        <f aca="false">IF(AND(AH$6=mois_tranche,AH35=1),tranche,0)</f>
        <v>0</v>
      </c>
      <c r="AI85" s="45" t="n">
        <f aca="false">IF(AND(AI$6=mois_tranche,AI35=1),tranche,0)</f>
        <v>0</v>
      </c>
      <c r="AJ85" s="45" t="n">
        <f aca="false">IF(AND(AJ$6=mois_tranche,AJ35=1),tranche,0)</f>
        <v>0</v>
      </c>
      <c r="AK85" s="45" t="n">
        <f aca="false">IF(AND(AK$6=mois_tranche,AK35=1),tranche,0)</f>
        <v>0</v>
      </c>
      <c r="AL85" s="45" t="n">
        <f aca="false">IF(AND(AL$6=mois_tranche,AL35=1),tranche,0)</f>
        <v>0</v>
      </c>
      <c r="AM85" s="45" t="n">
        <f aca="false">IF(AND(AM$6=mois_tranche,AM35=1),tranche,0)</f>
        <v>0</v>
      </c>
      <c r="AO85" s="45" t="n">
        <f aca="false">SUMIF($D$4:$AM$4,AO$4,$D85:$AM85)</f>
        <v>0</v>
      </c>
      <c r="AP85" s="45" t="n">
        <f aca="false">SUMIF($D$4:$AM$4,AP$4,$D85:$AM85)</f>
        <v>0</v>
      </c>
      <c r="AQ85" s="45" t="n">
        <f aca="false">SUMIF($D$4:$AM$4,AQ$4,$D85:$AM85)</f>
        <v>0</v>
      </c>
    </row>
    <row r="86" customFormat="false" ht="15" hidden="false" customHeight="false" outlineLevel="0" collapsed="false">
      <c r="A86" s="11" t="s">
        <v>300</v>
      </c>
      <c r="B86" s="13" t="s">
        <v>161</v>
      </c>
      <c r="C86" s="50" t="n">
        <v>0</v>
      </c>
      <c r="D86" s="44" t="n">
        <f aca="false">D84+D85+D69-D68-D67</f>
        <v>1020000</v>
      </c>
      <c r="E86" s="44" t="n">
        <f aca="false">E84+E85+E69-E68-E67</f>
        <v>-825</v>
      </c>
      <c r="F86" s="44" t="n">
        <f aca="false">F84+F85+F69-F68-F67</f>
        <v>-825</v>
      </c>
      <c r="G86" s="44" t="n">
        <f aca="false">G84+G85+G69-G68-G67</f>
        <v>-825</v>
      </c>
      <c r="H86" s="44" t="n">
        <f aca="false">H84+H85+H69-H68-H67</f>
        <v>-825</v>
      </c>
      <c r="I86" s="44" t="n">
        <f aca="false">I84+I85+I69-I68-I67</f>
        <v>-825</v>
      </c>
      <c r="J86" s="44" t="n">
        <f aca="false">J84+J85+J69-J68-J67</f>
        <v>-825</v>
      </c>
      <c r="K86" s="44" t="n">
        <f aca="false">K84+K85+K69-K68-K67</f>
        <v>-4508.09458189757</v>
      </c>
      <c r="L86" s="44" t="n">
        <f aca="false">L84+L85+L69-L68-L67</f>
        <v>-4508.09458189757</v>
      </c>
      <c r="M86" s="44" t="n">
        <f aca="false">M84+M85+M69-M68-M67</f>
        <v>-4508.09458189757</v>
      </c>
      <c r="N86" s="44" t="n">
        <f aca="false">N84+N85+N69-N68-N67</f>
        <v>-4508.09458189757</v>
      </c>
      <c r="O86" s="44" t="n">
        <f aca="false">O84+O85+O69-O68-O67</f>
        <v>-4508.09458189757</v>
      </c>
      <c r="P86" s="44" t="n">
        <f aca="false">P84+P85+P69-P68-P67</f>
        <v>-4508.09458189757</v>
      </c>
      <c r="Q86" s="44" t="n">
        <f aca="false">Q84+Q85+Q69-Q68-Q67</f>
        <v>-4508.09458189757</v>
      </c>
      <c r="R86" s="44" t="n">
        <f aca="false">R84+R85+R69-R68-R67</f>
        <v>-4508.09458189757</v>
      </c>
      <c r="S86" s="44" t="n">
        <f aca="false">S84+S85+S69-S68-S67</f>
        <v>-4508.09458189757</v>
      </c>
      <c r="T86" s="44" t="n">
        <f aca="false">T84+T85+T69-T68-T67</f>
        <v>-4508.09458189757</v>
      </c>
      <c r="U86" s="44" t="n">
        <f aca="false">U84+U85+U69-U68-U67</f>
        <v>-4508.09458189757</v>
      </c>
      <c r="V86" s="44" t="n">
        <f aca="false">V84+V85+V69-V68-V67</f>
        <v>-4508.09458189757</v>
      </c>
      <c r="W86" s="44" t="n">
        <f aca="false">W84+W85+W69-W68-W67</f>
        <v>-4508.09458189757</v>
      </c>
      <c r="X86" s="44" t="n">
        <f aca="false">X84+X85+X69-X68-X67</f>
        <v>-4508.09458189757</v>
      </c>
      <c r="Y86" s="44" t="n">
        <f aca="false">Y84+Y85+Y69-Y68-Y67</f>
        <v>-4508.09458189757</v>
      </c>
      <c r="Z86" s="44" t="n">
        <f aca="false">Z84+Z85+Z69-Z68-Z67</f>
        <v>-4508.09458189757</v>
      </c>
      <c r="AA86" s="44" t="n">
        <f aca="false">AA84+AA85+AA69-AA68-AA67</f>
        <v>-4508.09458189757</v>
      </c>
      <c r="AB86" s="44" t="n">
        <f aca="false">AB84+AB85+AB69-AB68-AB67</f>
        <v>-4508.09458189757</v>
      </c>
      <c r="AC86" s="44" t="n">
        <f aca="false">AC84+AC85+AC69-AC68-AC67</f>
        <v>-4508.09458189757</v>
      </c>
      <c r="AD86" s="44" t="n">
        <f aca="false">AD84+AD85+AD69-AD68-AD67</f>
        <v>-4508.09458189757</v>
      </c>
      <c r="AE86" s="44" t="n">
        <f aca="false">AE84+AE85+AE69-AE68-AE67</f>
        <v>-4508.09458189757</v>
      </c>
      <c r="AF86" s="44" t="n">
        <f aca="false">AF84+AF85+AF69-AF68-AF67</f>
        <v>-4508.09458189757</v>
      </c>
      <c r="AG86" s="44" t="n">
        <f aca="false">AG84+AG85+AG69-AG68-AG67</f>
        <v>-4508.09458189757</v>
      </c>
      <c r="AH86" s="44" t="n">
        <f aca="false">AH84+AH85+AH69-AH68-AH67</f>
        <v>-4508.09458189757</v>
      </c>
      <c r="AI86" s="44" t="n">
        <f aca="false">AI84+AI85+AI69-AI68-AI67</f>
        <v>-4508.09458189757</v>
      </c>
      <c r="AJ86" s="44" t="n">
        <f aca="false">AJ84+AJ85+AJ69-AJ68-AJ67</f>
        <v>-4508.09458189757</v>
      </c>
      <c r="AK86" s="44" t="n">
        <f aca="false">AK84+AK85+AK69-AK68-AK67</f>
        <v>-4508.09458189757</v>
      </c>
      <c r="AL86" s="44" t="n">
        <f aca="false">AL84+AL85+AL69-AL68-AL67</f>
        <v>-4508.09458189757</v>
      </c>
      <c r="AM86" s="44" t="n">
        <f aca="false">AM84+AM85+AM69-AM68-AM67</f>
        <v>-4508.09458189757</v>
      </c>
      <c r="AO86" s="44" t="n">
        <f aca="false">SUMIF($D$4:$AM$4,AO$4,$D86:$AM86)</f>
        <v>992509.527090512</v>
      </c>
      <c r="AP86" s="44" t="n">
        <f aca="false">SUMIF($D$4:$AM$4,AP$4,$D86:$AM86)</f>
        <v>-54097.1349827709</v>
      </c>
      <c r="AQ86" s="44" t="n">
        <f aca="false">SUMIF($D$4:$AM$4,AQ$4,$D86:$AM86)</f>
        <v>-54097.1349827709</v>
      </c>
    </row>
    <row r="87" customFormat="false" ht="15" hidden="false" customHeight="false" outlineLevel="0" collapsed="false">
      <c r="A87" s="11" t="s">
        <v>301</v>
      </c>
      <c r="B87" s="13" t="s">
        <v>161</v>
      </c>
      <c r="C87" s="50" t="n">
        <v>0</v>
      </c>
      <c r="D87" s="44" t="n">
        <f aca="false">D82+D83+D86</f>
        <v>771566.666666667</v>
      </c>
      <c r="E87" s="44" t="n">
        <f aca="false">E82+E83+E86</f>
        <v>-19757.0243333333</v>
      </c>
      <c r="F87" s="44" t="n">
        <f aca="false">F82+F83+F86</f>
        <v>-17862.0168053333</v>
      </c>
      <c r="G87" s="44" t="n">
        <f aca="false">G82+G83+G86</f>
        <v>-20597.3500125867</v>
      </c>
      <c r="H87" s="44" t="n">
        <f aca="false">H82+H83+H86</f>
        <v>-18524.7727710043</v>
      </c>
      <c r="I87" s="44" t="n">
        <f aca="false">I82+I83+I86</f>
        <v>-16399.8531399421</v>
      </c>
      <c r="J87" s="44" t="n">
        <f aca="false">J82+J83+J86</f>
        <v>-16586.168520186</v>
      </c>
      <c r="K87" s="44" t="n">
        <f aca="false">K82+K83+K86</f>
        <v>-16011.6967225504</v>
      </c>
      <c r="L87" s="44" t="n">
        <f aca="false">L82+L83+L86</f>
        <v>-23264.3027618869</v>
      </c>
      <c r="M87" s="44" t="n">
        <f aca="false">M82+M83+M86</f>
        <v>-17498.0410249819</v>
      </c>
      <c r="N87" s="44" t="n">
        <f aca="false">N82+N83+N86</f>
        <v>-16187.0099118464</v>
      </c>
      <c r="O87" s="44" t="n">
        <f aca="false">O82+O83+O86</f>
        <v>-16307.5190769859</v>
      </c>
      <c r="P87" s="44" t="n">
        <f aca="false">P82+P83+P86</f>
        <v>-19089.5412316084</v>
      </c>
      <c r="Q87" s="44" t="n">
        <f aca="false">Q82+Q83+Q86</f>
        <v>-24703.6465653073</v>
      </c>
      <c r="R87" s="44" t="n">
        <f aca="false">R82+R83+R86</f>
        <v>-23478.7340679934</v>
      </c>
      <c r="S87" s="44" t="n">
        <f aca="false">S82+S83+S86</f>
        <v>-20282.2029266039</v>
      </c>
      <c r="T87" s="44" t="n">
        <f aca="false">T82+T83+T86</f>
        <v>-17401.7523135519</v>
      </c>
      <c r="U87" s="44" t="n">
        <f aca="false">U82+U83+U86</f>
        <v>-162790.937149371</v>
      </c>
      <c r="V87" s="44" t="n">
        <f aca="false">V82+V83+V86</f>
        <v>-12060.726115866</v>
      </c>
      <c r="W87" s="44" t="n">
        <f aca="false">W82+W83+W86</f>
        <v>-2566.85428107921</v>
      </c>
      <c r="X87" s="44" t="n">
        <f aca="false">X82+X83+X86</f>
        <v>-27776.8382287856</v>
      </c>
      <c r="Y87" s="44" t="n">
        <f aca="false">Y82+Y83+Y86</f>
        <v>-5625.73227228148</v>
      </c>
      <c r="Z87" s="44" t="n">
        <f aca="false">Z82+Z83+Z86</f>
        <v>-1670.88532445838</v>
      </c>
      <c r="AA87" s="44" t="n">
        <f aca="false">AA82+AA83+AA86</f>
        <v>-4298.08603823956</v>
      </c>
      <c r="AB87" s="44" t="n">
        <f aca="false">AB82+AB83+AB86</f>
        <v>5157.04149821539</v>
      </c>
      <c r="AC87" s="44" t="n">
        <f aca="false">AC82+AC83+AC86</f>
        <v>-1100.25294333712</v>
      </c>
      <c r="AD87" s="44" t="n">
        <f aca="false">AD82+AD83+AD86</f>
        <v>-9039.97462070917</v>
      </c>
      <c r="AE87" s="44" t="n">
        <f aca="false">AE82+AE83+AE86</f>
        <v>2101.15047240817</v>
      </c>
      <c r="AF87" s="44" t="n">
        <f aca="false">AF82+AF83+AF86</f>
        <v>-145929.360939401</v>
      </c>
      <c r="AG87" s="44" t="n">
        <f aca="false">AG82+AG83+AG86</f>
        <v>7027.50002711896</v>
      </c>
      <c r="AH87" s="44" t="n">
        <f aca="false">AH82+AH83+AH86</f>
        <v>23977.0238327494</v>
      </c>
      <c r="AI87" s="44" t="n">
        <f aca="false">AI82+AI83+AI86</f>
        <v>36421.9866902757</v>
      </c>
      <c r="AJ87" s="44" t="n">
        <f aca="false">AJ82+AJ83+AJ86</f>
        <v>-6610.58016759854</v>
      </c>
      <c r="AK87" s="44" t="n">
        <f aca="false">AK82+AK83+AK86</f>
        <v>32599.0697538958</v>
      </c>
      <c r="AL87" s="44" t="n">
        <f aca="false">AL82+AL83+AL86</f>
        <v>37934.027209469</v>
      </c>
      <c r="AM87" s="44" t="n">
        <f aca="false">AM82+AM83+AM86</f>
        <v>27567.2141778183</v>
      </c>
      <c r="AO87" s="44" t="n">
        <f aca="false">SUMIF($D$4:$AM$4,AO$4,$D87:$AM87)</f>
        <v>572570.911586029</v>
      </c>
      <c r="AP87" s="44" t="n">
        <f aca="false">SUMIF($D$4:$AM$4,AP$4,$D87:$AM87)</f>
        <v>-321745.936515146</v>
      </c>
      <c r="AQ87" s="44" t="n">
        <f aca="false">SUMIF($D$4:$AM$4,AQ$4,$D87:$AM87)</f>
        <v>10104.8449909046</v>
      </c>
    </row>
    <row r="88" customFormat="false" ht="15" hidden="false" customHeight="false" outlineLevel="0" collapsed="false">
      <c r="A88" s="11" t="s">
        <v>434</v>
      </c>
      <c r="B88" s="13" t="s">
        <v>161</v>
      </c>
      <c r="C88" s="50" t="n">
        <v>0</v>
      </c>
      <c r="D88" s="44" t="n">
        <f aca="false">C88+D87</f>
        <v>771566.666666667</v>
      </c>
      <c r="E88" s="44" t="n">
        <f aca="false">D88+E87</f>
        <v>751809.642333333</v>
      </c>
      <c r="F88" s="44" t="n">
        <f aca="false">E88+F87</f>
        <v>733947.625528</v>
      </c>
      <c r="G88" s="44" t="n">
        <f aca="false">F88+G87</f>
        <v>713350.275515413</v>
      </c>
      <c r="H88" s="44" t="n">
        <f aca="false">G88+H87</f>
        <v>694825.502744409</v>
      </c>
      <c r="I88" s="44" t="n">
        <f aca="false">H88+I87</f>
        <v>678425.649604467</v>
      </c>
      <c r="J88" s="44" t="n">
        <f aca="false">I88+J87</f>
        <v>661839.481084281</v>
      </c>
      <c r="K88" s="44" t="n">
        <f aca="false">J88+K87</f>
        <v>645827.78436173</v>
      </c>
      <c r="L88" s="44" t="n">
        <f aca="false">K88+L87</f>
        <v>622563.481599844</v>
      </c>
      <c r="M88" s="44" t="n">
        <f aca="false">L88+M87</f>
        <v>605065.440574862</v>
      </c>
      <c r="N88" s="44" t="n">
        <f aca="false">M88+N87</f>
        <v>588878.430663015</v>
      </c>
      <c r="O88" s="44" t="n">
        <f aca="false">N88+O87</f>
        <v>572570.911586029</v>
      </c>
      <c r="P88" s="44" t="n">
        <f aca="false">O88+P87</f>
        <v>553481.370354421</v>
      </c>
      <c r="Q88" s="44" t="n">
        <f aca="false">P88+Q87</f>
        <v>528777.723789114</v>
      </c>
      <c r="R88" s="44" t="n">
        <f aca="false">Q88+R87</f>
        <v>505298.98972112</v>
      </c>
      <c r="S88" s="44" t="n">
        <f aca="false">R88+S87</f>
        <v>485016.786794516</v>
      </c>
      <c r="T88" s="44" t="n">
        <f aca="false">S88+T87</f>
        <v>467615.034480964</v>
      </c>
      <c r="U88" s="44" t="n">
        <f aca="false">T88+U87</f>
        <v>304824.097331593</v>
      </c>
      <c r="V88" s="44" t="n">
        <f aca="false">U88+V87</f>
        <v>292763.371215727</v>
      </c>
      <c r="W88" s="44" t="n">
        <f aca="false">V88+W87</f>
        <v>290196.516934648</v>
      </c>
      <c r="X88" s="44" t="n">
        <f aca="false">W88+X87</f>
        <v>262419.678705862</v>
      </c>
      <c r="Y88" s="44" t="n">
        <f aca="false">X88+Y87</f>
        <v>256793.946433581</v>
      </c>
      <c r="Z88" s="44" t="n">
        <f aca="false">Y88+Z87</f>
        <v>255123.061109122</v>
      </c>
      <c r="AA88" s="44" t="n">
        <f aca="false">Z88+AA87</f>
        <v>250824.975070883</v>
      </c>
      <c r="AB88" s="44" t="n">
        <f aca="false">AA88+AB87</f>
        <v>255982.016569098</v>
      </c>
      <c r="AC88" s="44" t="n">
        <f aca="false">AB88+AC87</f>
        <v>254881.763625761</v>
      </c>
      <c r="AD88" s="44" t="n">
        <f aca="false">AC88+AD87</f>
        <v>245841.789005052</v>
      </c>
      <c r="AE88" s="44" t="n">
        <f aca="false">AD88+AE87</f>
        <v>247942.93947746</v>
      </c>
      <c r="AF88" s="44" t="n">
        <f aca="false">AE88+AF87</f>
        <v>102013.578538059</v>
      </c>
      <c r="AG88" s="44" t="n">
        <f aca="false">AF88+AG87</f>
        <v>109041.078565178</v>
      </c>
      <c r="AH88" s="44" t="n">
        <f aca="false">AG88+AH87</f>
        <v>133018.102397927</v>
      </c>
      <c r="AI88" s="44" t="n">
        <f aca="false">AH88+AI87</f>
        <v>169440.089088203</v>
      </c>
      <c r="AJ88" s="44" t="n">
        <f aca="false">AI88+AJ87</f>
        <v>162829.508920604</v>
      </c>
      <c r="AK88" s="44" t="n">
        <f aca="false">AJ88+AK87</f>
        <v>195428.5786745</v>
      </c>
      <c r="AL88" s="44" t="n">
        <f aca="false">AK88+AL87</f>
        <v>233362.605883969</v>
      </c>
      <c r="AM88" s="44" t="n">
        <f aca="false">AL88+AM87</f>
        <v>260929.820061787</v>
      </c>
      <c r="AO88" s="44" t="n">
        <f aca="false">INDEX($D88:$AM88,(AO$4-annee_debut)*12+12)</f>
        <v>572570.911586029</v>
      </c>
      <c r="AP88" s="44" t="n">
        <f aca="false">INDEX($D88:$AM88,(AP$4-annee_debut)*12+12)</f>
        <v>250824.975070883</v>
      </c>
      <c r="AQ88" s="44" t="n">
        <f aca="false">INDEX($D88:$AM88,(AQ$4-annee_debut)*12+12)</f>
        <v>260929.820061787</v>
      </c>
    </row>
    <row r="89" customFormat="false" ht="15" hidden="false" customHeight="false" outlineLevel="0" collapsed="false">
      <c r="A89" s="10" t="s">
        <v>303</v>
      </c>
      <c r="B89" s="13" t="s">
        <v>161</v>
      </c>
      <c r="C89" s="50" t="n">
        <v>0</v>
      </c>
      <c r="D89" s="45" t="n">
        <f aca="false">C89+D82+D83</f>
        <v>-248433.333333333</v>
      </c>
      <c r="E89" s="45" t="n">
        <f aca="false">D89+E82+E83</f>
        <v>-267365.357666667</v>
      </c>
      <c r="F89" s="45" t="n">
        <f aca="false">E89+F82+F83</f>
        <v>-284402.374472</v>
      </c>
      <c r="G89" s="45" t="n">
        <f aca="false">F89+G82+G83</f>
        <v>-304174.724484587</v>
      </c>
      <c r="H89" s="45" t="n">
        <f aca="false">G89+H82+H83</f>
        <v>-321874.497255591</v>
      </c>
      <c r="I89" s="45" t="n">
        <f aca="false">H89+I82+I83</f>
        <v>-337449.350395533</v>
      </c>
      <c r="J89" s="45" t="n">
        <f aca="false">I89+J82+J83</f>
        <v>-353210.518915719</v>
      </c>
      <c r="K89" s="45" t="n">
        <f aca="false">J89+K82+K83</f>
        <v>-364714.121056372</v>
      </c>
      <c r="L89" s="45" t="n">
        <f aca="false">K89+L82+L83</f>
        <v>-383470.329236361</v>
      </c>
      <c r="M89" s="45" t="n">
        <f aca="false">L89+M82+M83</f>
        <v>-396460.275679446</v>
      </c>
      <c r="N89" s="45" t="n">
        <f aca="false">M89+N82+N83</f>
        <v>-408139.191009395</v>
      </c>
      <c r="O89" s="45" t="n">
        <f aca="false">N89+O82+O83</f>
        <v>-419938.615504483</v>
      </c>
      <c r="P89" s="45" t="n">
        <f aca="false">O89+P82+P83</f>
        <v>-434520.062154194</v>
      </c>
      <c r="Q89" s="45" t="n">
        <f aca="false">P89+Q82+Q83</f>
        <v>-454715.614137603</v>
      </c>
      <c r="R89" s="45" t="n">
        <f aca="false">Q89+R82+R83</f>
        <v>-473686.253623699</v>
      </c>
      <c r="S89" s="45" t="n">
        <f aca="false">R89+S82+S83</f>
        <v>-489460.361968406</v>
      </c>
      <c r="T89" s="45" t="n">
        <f aca="false">S89+T82+T83</f>
        <v>-502354.01970006</v>
      </c>
      <c r="U89" s="45" t="n">
        <f aca="false">T89+U82+U83</f>
        <v>-660636.862267534</v>
      </c>
      <c r="V89" s="45" t="n">
        <f aca="false">U89+V82+V83</f>
        <v>-668189.493801502</v>
      </c>
      <c r="W89" s="45" t="n">
        <f aca="false">V89+W82+W83</f>
        <v>-666248.253500684</v>
      </c>
      <c r="X89" s="45" t="n">
        <f aca="false">W89+X82+X83</f>
        <v>-689516.997147572</v>
      </c>
      <c r="Y89" s="45" t="n">
        <f aca="false">X89+Y82+Y83</f>
        <v>-690634.634837956</v>
      </c>
      <c r="Z89" s="45" t="n">
        <f aca="false">Y89+Z82+Z83</f>
        <v>-687797.425580516</v>
      </c>
      <c r="AA89" s="45" t="n">
        <f aca="false">Z89+AA82+AA83</f>
        <v>-687587.417036858</v>
      </c>
      <c r="AB89" s="45" t="n">
        <f aca="false">AA89+AB82+AB83</f>
        <v>-677922.280956745</v>
      </c>
      <c r="AC89" s="45" t="n">
        <f aca="false">AB89+AC82+AC83</f>
        <v>-674514.439318185</v>
      </c>
      <c r="AD89" s="45" t="n">
        <f aca="false">AC89+AD82+AD83</f>
        <v>-679046.319356996</v>
      </c>
      <c r="AE89" s="45" t="n">
        <f aca="false">AD89+AE82+AE83</f>
        <v>-672437.074302691</v>
      </c>
      <c r="AF89" s="45" t="n">
        <f aca="false">AE89+AF82+AF83</f>
        <v>-813858.340660194</v>
      </c>
      <c r="AG89" s="45" t="n">
        <f aca="false">AF89+AG82+AG83</f>
        <v>-802322.746051178</v>
      </c>
      <c r="AH89" s="45" t="n">
        <f aca="false">AG89+AH82+AH83</f>
        <v>-773837.627636531</v>
      </c>
      <c r="AI89" s="45" t="n">
        <f aca="false">AH89+AI82+AI83</f>
        <v>-732907.546364358</v>
      </c>
      <c r="AJ89" s="45" t="n">
        <f aca="false">AI89+AJ82+AJ83</f>
        <v>-735010.031950058</v>
      </c>
      <c r="AK89" s="45" t="n">
        <f aca="false">AJ89+AK82+AK83</f>
        <v>-697902.867614265</v>
      </c>
      <c r="AL89" s="45" t="n">
        <f aca="false">AK89+AL82+AL83</f>
        <v>-655460.745822898</v>
      </c>
      <c r="AM89" s="45" t="n">
        <f aca="false">AL89+AM82+AM83</f>
        <v>-623385.437063183</v>
      </c>
      <c r="AO89" s="45" t="n">
        <f aca="false">INDEX($D89:$AM89,(AO$4-annee_debut)*12+12)</f>
        <v>-419938.615504483</v>
      </c>
      <c r="AP89" s="45" t="n">
        <f aca="false">INDEX($D89:$AM89,(AP$4-annee_debut)*12+12)</f>
        <v>-687587.417036858</v>
      </c>
      <c r="AQ89" s="45" t="n">
        <f aca="false">INDEX($D89:$AM89,(AQ$4-annee_debut)*12+12)</f>
        <v>-623385.437063183</v>
      </c>
    </row>
    <row r="90" customFormat="false" ht="15" hidden="false" customHeight="false" outlineLevel="0" collapsed="false">
      <c r="A90" s="5" t="s">
        <v>435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</row>
    <row r="91" customFormat="false" ht="15" hidden="false" customHeight="false" outlineLevel="0" collapsed="false">
      <c r="A91" s="10" t="s">
        <v>436</v>
      </c>
      <c r="B91" s="13" t="s">
        <v>85</v>
      </c>
      <c r="C91" s="50" t="n">
        <v>0</v>
      </c>
      <c r="D91" s="45" t="n">
        <f aca="false">IF(D48&lt;=0,D$6,0)</f>
        <v>1</v>
      </c>
      <c r="E91" s="45" t="n">
        <f aca="false">IF(E48&lt;=0,E$6,0)</f>
        <v>2</v>
      </c>
      <c r="F91" s="45" t="n">
        <f aca="false">IF(F48&lt;=0,F$6,0)</f>
        <v>3</v>
      </c>
      <c r="G91" s="45" t="n">
        <f aca="false">IF(G48&lt;=0,G$6,0)</f>
        <v>4</v>
      </c>
      <c r="H91" s="45" t="n">
        <f aca="false">IF(H48&lt;=0,H$6,0)</f>
        <v>5</v>
      </c>
      <c r="I91" s="45" t="n">
        <f aca="false">IF(I48&lt;=0,I$6,0)</f>
        <v>6</v>
      </c>
      <c r="J91" s="45" t="n">
        <f aca="false">IF(J48&lt;=0,J$6,0)</f>
        <v>7</v>
      </c>
      <c r="K91" s="45" t="n">
        <f aca="false">IF(K48&lt;=0,K$6,0)</f>
        <v>8</v>
      </c>
      <c r="L91" s="45" t="n">
        <f aca="false">IF(L48&lt;=0,L$6,0)</f>
        <v>9</v>
      </c>
      <c r="M91" s="45" t="n">
        <f aca="false">IF(M48&lt;=0,M$6,0)</f>
        <v>10</v>
      </c>
      <c r="N91" s="45" t="n">
        <f aca="false">IF(N48&lt;=0,N$6,0)</f>
        <v>11</v>
      </c>
      <c r="O91" s="45" t="n">
        <f aca="false">IF(O48&lt;=0,O$6,0)</f>
        <v>12</v>
      </c>
      <c r="P91" s="45" t="n">
        <f aca="false">IF(P48&lt;=0,P$6,0)</f>
        <v>13</v>
      </c>
      <c r="Q91" s="45" t="n">
        <f aca="false">IF(Q48&lt;=0,Q$6,0)</f>
        <v>14</v>
      </c>
      <c r="R91" s="45" t="n">
        <f aca="false">IF(R48&lt;=0,R$6,0)</f>
        <v>15</v>
      </c>
      <c r="S91" s="45" t="n">
        <f aca="false">IF(S48&lt;=0,S$6,0)</f>
        <v>16</v>
      </c>
      <c r="T91" s="45" t="n">
        <f aca="false">IF(T48&lt;=0,T$6,0)</f>
        <v>17</v>
      </c>
      <c r="U91" s="45" t="n">
        <f aca="false">IF(U48&lt;=0,U$6,0)</f>
        <v>0</v>
      </c>
      <c r="V91" s="45" t="n">
        <f aca="false">IF(V48&lt;=0,V$6,0)</f>
        <v>19</v>
      </c>
      <c r="W91" s="45" t="n">
        <f aca="false">IF(W48&lt;=0,W$6,0)</f>
        <v>20</v>
      </c>
      <c r="X91" s="45" t="n">
        <f aca="false">IF(X48&lt;=0,X$6,0)</f>
        <v>0</v>
      </c>
      <c r="Y91" s="45" t="n">
        <f aca="false">IF(Y48&lt;=0,Y$6,0)</f>
        <v>0</v>
      </c>
      <c r="Z91" s="45" t="n">
        <f aca="false">IF(Z48&lt;=0,Z$6,0)</f>
        <v>0</v>
      </c>
      <c r="AA91" s="45" t="n">
        <f aca="false">IF(AA48&lt;=0,AA$6,0)</f>
        <v>0</v>
      </c>
      <c r="AB91" s="45" t="n">
        <f aca="false">IF(AB48&lt;=0,AB$6,0)</f>
        <v>0</v>
      </c>
      <c r="AC91" s="45" t="n">
        <f aca="false">IF(AC48&lt;=0,AC$6,0)</f>
        <v>0</v>
      </c>
      <c r="AD91" s="45" t="n">
        <f aca="false">IF(AD48&lt;=0,AD$6,0)</f>
        <v>0</v>
      </c>
      <c r="AE91" s="45" t="n">
        <f aca="false">IF(AE48&lt;=0,AE$6,0)</f>
        <v>0</v>
      </c>
      <c r="AF91" s="45" t="n">
        <f aca="false">IF(AF48&lt;=0,AF$6,0)</f>
        <v>0</v>
      </c>
      <c r="AG91" s="45" t="n">
        <f aca="false">IF(AG48&lt;=0,AG$6,0)</f>
        <v>0</v>
      </c>
      <c r="AH91" s="45" t="n">
        <f aca="false">IF(AH48&lt;=0,AH$6,0)</f>
        <v>0</v>
      </c>
      <c r="AI91" s="45" t="n">
        <f aca="false">IF(AI48&lt;=0,AI$6,0)</f>
        <v>0</v>
      </c>
      <c r="AJ91" s="45" t="n">
        <f aca="false">IF(AJ48&lt;=0,AJ$6,0)</f>
        <v>0</v>
      </c>
      <c r="AK91" s="45" t="n">
        <f aca="false">IF(AK48&lt;=0,AK$6,0)</f>
        <v>0</v>
      </c>
      <c r="AL91" s="45" t="n">
        <f aca="false">IF(AL48&lt;=0,AL$6,0)</f>
        <v>0</v>
      </c>
      <c r="AM91" s="45" t="n">
        <f aca="false">IF(AM48&lt;=0,AM$6,0)</f>
        <v>0</v>
      </c>
    </row>
    <row r="92" customFormat="false" ht="15" hidden="false" customHeight="false" outlineLevel="0" collapsed="false">
      <c r="A92" s="10" t="s">
        <v>437</v>
      </c>
      <c r="B92" s="13" t="s">
        <v>85</v>
      </c>
      <c r="C92" s="50" t="n">
        <v>0</v>
      </c>
      <c r="D92" s="45" t="str">
        <f aca="false">IF(D88&lt;0,D$6,"")</f>
        <v/>
      </c>
      <c r="E92" s="45" t="str">
        <f aca="false">IF(E88&lt;0,E$6,"")</f>
        <v/>
      </c>
      <c r="F92" s="45" t="str">
        <f aca="false">IF(F88&lt;0,F$6,"")</f>
        <v/>
      </c>
      <c r="G92" s="45" t="str">
        <f aca="false">IF(G88&lt;0,G$6,"")</f>
        <v/>
      </c>
      <c r="H92" s="45" t="str">
        <f aca="false">IF(H88&lt;0,H$6,"")</f>
        <v/>
      </c>
      <c r="I92" s="45" t="str">
        <f aca="false">IF(I88&lt;0,I$6,"")</f>
        <v/>
      </c>
      <c r="J92" s="45" t="str">
        <f aca="false">IF(J88&lt;0,J$6,"")</f>
        <v/>
      </c>
      <c r="K92" s="45" t="str">
        <f aca="false">IF(K88&lt;0,K$6,"")</f>
        <v/>
      </c>
      <c r="L92" s="45" t="str">
        <f aca="false">IF(L88&lt;0,L$6,"")</f>
        <v/>
      </c>
      <c r="M92" s="45" t="str">
        <f aca="false">IF(M88&lt;0,M$6,"")</f>
        <v/>
      </c>
      <c r="N92" s="45" t="str">
        <f aca="false">IF(N88&lt;0,N$6,"")</f>
        <v/>
      </c>
      <c r="O92" s="45" t="str">
        <f aca="false">IF(O88&lt;0,O$6,"")</f>
        <v/>
      </c>
      <c r="P92" s="45" t="str">
        <f aca="false">IF(P88&lt;0,P$6,"")</f>
        <v/>
      </c>
      <c r="Q92" s="45" t="str">
        <f aca="false">IF(Q88&lt;0,Q$6,"")</f>
        <v/>
      </c>
      <c r="R92" s="45" t="str">
        <f aca="false">IF(R88&lt;0,R$6,"")</f>
        <v/>
      </c>
      <c r="S92" s="45" t="str">
        <f aca="false">IF(S88&lt;0,S$6,"")</f>
        <v/>
      </c>
      <c r="T92" s="45" t="str">
        <f aca="false">IF(T88&lt;0,T$6,"")</f>
        <v/>
      </c>
      <c r="U92" s="45" t="str">
        <f aca="false">IF(U88&lt;0,U$6,"")</f>
        <v/>
      </c>
      <c r="V92" s="45" t="str">
        <f aca="false">IF(V88&lt;0,V$6,"")</f>
        <v/>
      </c>
      <c r="W92" s="45" t="str">
        <f aca="false">IF(W88&lt;0,W$6,"")</f>
        <v/>
      </c>
      <c r="X92" s="45" t="str">
        <f aca="false">IF(X88&lt;0,X$6,"")</f>
        <v/>
      </c>
      <c r="Y92" s="45" t="str">
        <f aca="false">IF(Y88&lt;0,Y$6,"")</f>
        <v/>
      </c>
      <c r="Z92" s="45" t="str">
        <f aca="false">IF(Z88&lt;0,Z$6,"")</f>
        <v/>
      </c>
      <c r="AA92" s="45" t="str">
        <f aca="false">IF(AA88&lt;0,AA$6,"")</f>
        <v/>
      </c>
      <c r="AB92" s="45" t="str">
        <f aca="false">IF(AB88&lt;0,AB$6,"")</f>
        <v/>
      </c>
      <c r="AC92" s="45" t="str">
        <f aca="false">IF(AC88&lt;0,AC$6,"")</f>
        <v/>
      </c>
      <c r="AD92" s="45" t="str">
        <f aca="false">IF(AD88&lt;0,AD$6,"")</f>
        <v/>
      </c>
      <c r="AE92" s="45" t="str">
        <f aca="false">IF(AE88&lt;0,AE$6,"")</f>
        <v/>
      </c>
      <c r="AF92" s="45" t="str">
        <f aca="false">IF(AF88&lt;0,AF$6,"")</f>
        <v/>
      </c>
      <c r="AG92" s="45" t="str">
        <f aca="false">IF(AG88&lt;0,AG$6,"")</f>
        <v/>
      </c>
      <c r="AH92" s="45" t="str">
        <f aca="false">IF(AH88&lt;0,AH$6,"")</f>
        <v/>
      </c>
      <c r="AI92" s="45" t="str">
        <f aca="false">IF(AI88&lt;0,AI$6,"")</f>
        <v/>
      </c>
      <c r="AJ92" s="45" t="str">
        <f aca="false">IF(AJ88&lt;0,AJ$6,"")</f>
        <v/>
      </c>
      <c r="AK92" s="45" t="str">
        <f aca="false">IF(AK88&lt;0,AK$6,"")</f>
        <v/>
      </c>
      <c r="AL92" s="45" t="str">
        <f aca="false">IF(AL88&lt;0,AL$6,"")</f>
        <v/>
      </c>
      <c r="AM92" s="45" t="str">
        <f aca="false">IF(AM88&lt;0,AM$6,"")</f>
        <v/>
      </c>
    </row>
    <row r="93" customFormat="false" ht="15" hidden="false" customHeight="false" outlineLevel="0" collapsed="false">
      <c r="A93" s="10" t="s">
        <v>327</v>
      </c>
      <c r="B93" s="13" t="s">
        <v>161</v>
      </c>
      <c r="C93" s="50" t="n">
        <v>0</v>
      </c>
      <c r="D93" s="45" t="n">
        <f aca="false">SUM($D51:D51)+SUM($D52:D52)+D59*SUM($D60:D60)</f>
        <v>237600</v>
      </c>
      <c r="E93" s="45" t="n">
        <f aca="false">SUM($D51:E51)+SUM($D52:E52)+E59*SUM($D60:E60)</f>
        <v>237369.253968</v>
      </c>
      <c r="F93" s="45" t="n">
        <f aca="false">SUM($D51:F51)+SUM($D52:F52)+F59*SUM($D60:F60)</f>
        <v>236971.234122845</v>
      </c>
      <c r="G93" s="45" t="n">
        <f aca="false">SUM($D51:G51)+SUM($D52:G52)+G59*SUM($D60:G60)</f>
        <v>236418.039586806</v>
      </c>
      <c r="H93" s="45" t="n">
        <f aca="false">SUM($D51:H51)+SUM($D52:H52)+H59*SUM($D60:H60)</f>
        <v>235712.514894988</v>
      </c>
      <c r="I93" s="45" t="n">
        <f aca="false">SUM($D51:I51)+SUM($D52:I52)+I59*SUM($D60:I60)</f>
        <v>234949.057604311</v>
      </c>
      <c r="J93" s="45" t="n">
        <f aca="false">SUM($D51:J51)+SUM($D52:J52)+J59*SUM($D60:J60)</f>
        <v>236701.910003187</v>
      </c>
      <c r="K93" s="45" t="n">
        <f aca="false">SUM($D51:K51)+SUM($D52:K52)+K59*SUM($D60:K60)</f>
        <v>235918.427892794</v>
      </c>
      <c r="L93" s="45" t="n">
        <f aca="false">SUM($D51:L51)+SUM($D52:L52)+L59*SUM($D60:L60)</f>
        <v>241082.292099056</v>
      </c>
      <c r="M93" s="45" t="n">
        <f aca="false">SUM($D51:M51)+SUM($D52:M52)+M59*SUM($D60:M60)</f>
        <v>242368.562403894</v>
      </c>
      <c r="N93" s="45" t="n">
        <f aca="false">SUM($D51:N51)+SUM($D52:N52)+N59*SUM($D60:N60)</f>
        <v>243143.448870574</v>
      </c>
      <c r="O93" s="45" t="n">
        <f aca="false">SUM($D51:O51)+SUM($D52:O52)+O59*SUM($D60:O60)</f>
        <v>245357.703624071</v>
      </c>
      <c r="P93" s="45" t="n">
        <f aca="false">SUM($D51:P51)+SUM($D52:P52)+P59*SUM($D60:P60)</f>
        <v>245758.900129984</v>
      </c>
      <c r="Q93" s="45" t="n">
        <f aca="false">SUM($D51:Q51)+SUM($D52:Q52)+Q59*SUM($D60:Q60)</f>
        <v>249960.229959724</v>
      </c>
      <c r="R93" s="45" t="n">
        <f aca="false">SUM($D51:R51)+SUM($D52:R52)+R59*SUM($D60:R60)</f>
        <v>256399.783019873</v>
      </c>
      <c r="S93" s="45" t="n">
        <f aca="false">SUM($D51:S51)+SUM($D52:S52)+S59*SUM($D60:S60)</f>
        <v>261349.998110218</v>
      </c>
      <c r="T93" s="45" t="n">
        <f aca="false">SUM($D51:T51)+SUM($D52:T52)+T59*SUM($D60:T60)</f>
        <v>266834.932153292</v>
      </c>
      <c r="U93" s="45" t="n">
        <f aca="false">SUM($D51:U51)+SUM($D52:U52)+U59*SUM($D60:U60)</f>
        <v>422320.587567095</v>
      </c>
      <c r="V93" s="45" t="n">
        <f aca="false">SUM($D51:V51)+SUM($D52:V52)+V59*SUM($D60:V60)</f>
        <v>423422.696622557</v>
      </c>
      <c r="W93" s="45" t="n">
        <f aca="false">SUM($D51:W51)+SUM($D52:W52)+W59*SUM($D60:W60)</f>
        <v>421074.966907958</v>
      </c>
      <c r="X93" s="45" t="n">
        <f aca="false">SUM($D51:X51)+SUM($D52:X52)+X59*SUM($D60:X60)</f>
        <v>430048.842179614</v>
      </c>
      <c r="Y93" s="45" t="n">
        <f aca="false">SUM($D51:Y51)+SUM($D52:Y52)+Y59*SUM($D60:Y60)</f>
        <v>430823.38590192</v>
      </c>
      <c r="Z93" s="45" t="n">
        <f aca="false">SUM($D51:Z51)+SUM($D52:Z52)+Z59*SUM($D60:Z60)</f>
        <v>430340.189574452</v>
      </c>
      <c r="AA93" s="45" t="n">
        <f aca="false">SUM($D51:AA51)+SUM($D52:AA52)+AA59*SUM($D60:AA60)</f>
        <v>434540.406573018</v>
      </c>
      <c r="AB93" s="45" t="n">
        <f aca="false">SUM($D51:AB51)+SUM($D52:AB52)+AB59*SUM($D60:AB60)</f>
        <v>431106.685207336</v>
      </c>
      <c r="AC93" s="45" t="n">
        <f aca="false">SUM($D51:AC51)+SUM($D52:AC52)+AC59*SUM($D60:AC60)</f>
        <v>434769.009113923</v>
      </c>
      <c r="AD93" s="45" t="n">
        <f aca="false">SUM($D51:AD51)+SUM($D52:AD52)+AD59*SUM($D60:AD60)</f>
        <v>445165.126530978</v>
      </c>
      <c r="AE93" s="45" t="n">
        <f aca="false">SUM($D51:AE51)+SUM($D52:AE52)+AE59*SUM($D60:AE60)</f>
        <v>451736.048605442</v>
      </c>
      <c r="AF93" s="45" t="n">
        <f aca="false">SUM($D51:AF51)+SUM($D52:AF52)+AF59*SUM($D60:AF60)</f>
        <v>609618.389486934</v>
      </c>
      <c r="AG93" s="45" t="n">
        <f aca="false">SUM($D51:AG51)+SUM($D52:AG52)+AG59*SUM($D60:AG60)</f>
        <v>617482.518432324</v>
      </c>
      <c r="AH93" s="45" t="n">
        <f aca="false">SUM($D51:AH51)+SUM($D52:AH52)+AH59*SUM($D60:AH60)</f>
        <v>615918.397912765</v>
      </c>
      <c r="AI93" s="45" t="n">
        <f aca="false">SUM($D51:AI51)+SUM($D52:AI52)+AI59*SUM($D60:AI60)</f>
        <v>611811.565821907</v>
      </c>
      <c r="AJ93" s="45" t="n">
        <f aca="false">SUM($D51:AJ51)+SUM($D52:AJ52)+AJ59*SUM($D60:AJ60)</f>
        <v>622956.23277929</v>
      </c>
      <c r="AK93" s="45" t="n">
        <f aca="false">SUM($D51:AK51)+SUM($D52:AK52)+AK59*SUM($D60:AK60)</f>
        <v>621783.626114808</v>
      </c>
      <c r="AL93" s="45" t="n">
        <f aca="false">SUM($D51:AL51)+SUM($D52:AL52)+AL59*SUM($D60:AL60)</f>
        <v>618439.297490609</v>
      </c>
      <c r="AM93" s="45" t="n">
        <f aca="false">SUM($D51:AM51)+SUM($D52:AM52)+AM59*SUM($D60:AM60)</f>
        <v>624493.873993283</v>
      </c>
      <c r="AO93" s="45" t="n">
        <f aca="false">INDEX($D93:$AM93,(AO$4-annee_debut)*12+12)</f>
        <v>245357.703624071</v>
      </c>
      <c r="AP93" s="45" t="n">
        <f aca="false">INDEX($D93:$AM93,(AP$4-annee_debut)*12+12)</f>
        <v>434540.406573018</v>
      </c>
      <c r="AQ93" s="45" t="n">
        <f aca="false">INDEX($D93:$AM93,(AQ$4-annee_debut)*12+12)</f>
        <v>624493.873993283</v>
      </c>
    </row>
    <row r="94" customFormat="false" ht="15" hidden="false" customHeight="false" outlineLevel="0" collapsed="false">
      <c r="A94" s="10" t="s">
        <v>329</v>
      </c>
      <c r="B94" s="13" t="s">
        <v>161</v>
      </c>
      <c r="C94" s="50" t="n">
        <v>0</v>
      </c>
      <c r="D94" s="45" t="n">
        <f aca="false">C94+D56-D64-D62</f>
        <v>234742.063492064</v>
      </c>
      <c r="E94" s="45" t="n">
        <f aca="false">D94+E56-E64-E62</f>
        <v>231666.200176127</v>
      </c>
      <c r="F94" s="45" t="n">
        <f aca="false">E94+F56-F64-F62</f>
        <v>228449.821755465</v>
      </c>
      <c r="G94" s="45" t="n">
        <f aca="false">F94+G56-G64-G62</f>
        <v>225117.62248986</v>
      </c>
      <c r="H94" s="45" t="n">
        <f aca="false">G94+H56-H64-H62</f>
        <v>221684.983064335</v>
      </c>
      <c r="I94" s="45" t="n">
        <f aca="false">H94+I56-I64-I62</f>
        <v>218254.135147459</v>
      </c>
      <c r="J94" s="45" t="n">
        <f aca="false">I94+J56-J64-J62</f>
        <v>217306.88923682</v>
      </c>
      <c r="K94" s="45" t="n">
        <f aca="false">J94+K56-K64-K62</f>
        <v>213844.076456776</v>
      </c>
      <c r="L94" s="45" t="n">
        <f aca="false">K94+L56-L64-L62</f>
        <v>216220.522237784</v>
      </c>
      <c r="M94" s="45" t="n">
        <f aca="false">L94+M56-M64-M62</f>
        <v>214706.057108438</v>
      </c>
      <c r="N94" s="45" t="n">
        <f aca="false">M94+N56-N64-N62</f>
        <v>212681.809649813</v>
      </c>
      <c r="O94" s="45" t="n">
        <f aca="false">N94+O56-O64-O62</f>
        <v>212058.463739354</v>
      </c>
      <c r="P94" s="45" t="n">
        <f aca="false">O94+P56-P64-P62</f>
        <v>209636.016289902</v>
      </c>
      <c r="Q94" s="45" t="n">
        <f aca="false">P94+Q56-Q64-Q62</f>
        <v>210921.351933056</v>
      </c>
      <c r="R94" s="45" t="n">
        <f aca="false">Q94+R56-R64-R62</f>
        <v>214295.335041701</v>
      </c>
      <c r="S94" s="45" t="n">
        <f aca="false">R94+S56-S64-S62</f>
        <v>216079.787902191</v>
      </c>
      <c r="T94" s="45" t="n">
        <f aca="false">S94+T56-T64-T62</f>
        <v>218289.281576301</v>
      </c>
      <c r="U94" s="45" t="n">
        <f aca="false">T94+U56-U64-U62</f>
        <v>368609.959772835</v>
      </c>
      <c r="V94" s="45" t="n">
        <f aca="false">U94+V56-V64-V62</f>
        <v>364570.596148054</v>
      </c>
      <c r="W94" s="45" t="n">
        <f aca="false">V94+W56-W64-W62</f>
        <v>357100.62974281</v>
      </c>
      <c r="X94" s="45" t="n">
        <f aca="false">W94+X56-X64-X62</f>
        <v>360853.661247632</v>
      </c>
      <c r="Y94" s="45" t="n">
        <f aca="false">X94+Y56-Y64-Y62</f>
        <v>356442.957628032</v>
      </c>
      <c r="Z94" s="45" t="n">
        <f aca="false">Y94+Z56-Z64-Z62</f>
        <v>350843.140655856</v>
      </c>
      <c r="AA94" s="45" t="n">
        <f aca="false">Z94+AA56-AA64-AA62</f>
        <v>349861.592462092</v>
      </c>
      <c r="AB94" s="45" t="n">
        <f aca="false">AA94+AB56-AB64-AB62</f>
        <v>341390.85494946</v>
      </c>
      <c r="AC94" s="45" t="n">
        <f aca="false">AB94+AC56-AC64-AC62</f>
        <v>339967.345246515</v>
      </c>
      <c r="AD94" s="45" t="n">
        <f aca="false">AC94+AD56-AD64-AD62</f>
        <v>345038.726856004</v>
      </c>
      <c r="AE94" s="45" t="n">
        <f aca="false">AD94+AE56-AE64-AE62</f>
        <v>346165.064683086</v>
      </c>
      <c r="AF94" s="45" t="n">
        <f aca="false">AE94+AF56-AF64-AF62</f>
        <v>496667.250743605</v>
      </c>
      <c r="AG94" s="45" t="n">
        <f aca="false">AF94+AG56-AG64-AG62</f>
        <v>497009.90248268</v>
      </c>
      <c r="AH94" s="45" t="n">
        <f aca="false">AG94+AH56-AH64-AH62</f>
        <v>488052.449032008</v>
      </c>
      <c r="AI94" s="45" t="n">
        <f aca="false">AH94+AI56-AI64-AI62</f>
        <v>476485.326570152</v>
      </c>
      <c r="AJ94" s="45" t="n">
        <f aca="false">AI94+AJ56-AJ64-AJ62</f>
        <v>480200.415411382</v>
      </c>
      <c r="AK94" s="45" t="n">
        <f aca="false">AJ94+AK56-AK64-AK62</f>
        <v>471710.576355541</v>
      </c>
      <c r="AL94" s="45" t="n">
        <f aca="false">AK94+AL56-AL64-AL62</f>
        <v>461215.668153796</v>
      </c>
      <c r="AM94" s="45" t="n">
        <f aca="false">AL94+AM56-AM64-AM62</f>
        <v>460016.30936546</v>
      </c>
      <c r="AO94" s="45" t="n">
        <f aca="false">INDEX($D94:$AM94,(AO$4-annee_debut)*12+12)</f>
        <v>212058.463739354</v>
      </c>
      <c r="AP94" s="45" t="n">
        <f aca="false">INDEX($D94:$AM94,(AP$4-annee_debut)*12+12)</f>
        <v>349861.592462092</v>
      </c>
      <c r="AQ94" s="45" t="n">
        <f aca="false">INDEX($D94:$AM94,(AQ$4-annee_debut)*12+12)</f>
        <v>460016.30936546</v>
      </c>
    </row>
    <row r="95" customFormat="false" ht="15" hidden="false" customHeight="false" outlineLevel="0" collapsed="false">
      <c r="A95" s="10" t="s">
        <v>438</v>
      </c>
      <c r="B95" s="13" t="s">
        <v>161</v>
      </c>
      <c r="C95" s="50" t="n">
        <v>0</v>
      </c>
      <c r="D95" s="45" t="n">
        <f aca="false">D93-D94</f>
        <v>2857.93650793651</v>
      </c>
      <c r="E95" s="45" t="n">
        <f aca="false">E93-E94</f>
        <v>5703.05379187304</v>
      </c>
      <c r="F95" s="45" t="n">
        <f aca="false">F93-F94</f>
        <v>8521.41236737996</v>
      </c>
      <c r="G95" s="45" t="n">
        <f aca="false">G93-G94</f>
        <v>11300.4170969468</v>
      </c>
      <c r="H95" s="45" t="n">
        <f aca="false">H93-H94</f>
        <v>14027.5318306531</v>
      </c>
      <c r="I95" s="45" t="n">
        <f aca="false">I93-I94</f>
        <v>16694.9224568518</v>
      </c>
      <c r="J95" s="45" t="n">
        <f aca="false">J93-J94</f>
        <v>19395.0207663663</v>
      </c>
      <c r="K95" s="45" t="n">
        <f aca="false">K93-K94</f>
        <v>22074.3514360174</v>
      </c>
      <c r="L95" s="45" t="n">
        <f aca="false">L93-L94</f>
        <v>24861.7698612725</v>
      </c>
      <c r="M95" s="45" t="n">
        <f aca="false">M93-M94</f>
        <v>27662.5052954565</v>
      </c>
      <c r="N95" s="45" t="n">
        <f aca="false">N93-N94</f>
        <v>30461.6392207612</v>
      </c>
      <c r="O95" s="45" t="n">
        <f aca="false">O93-O94</f>
        <v>33299.2398847168</v>
      </c>
      <c r="P95" s="45" t="n">
        <f aca="false">P93-P94</f>
        <v>36122.8838400815</v>
      </c>
      <c r="Q95" s="45" t="n">
        <f aca="false">Q93-Q94</f>
        <v>39038.8780266681</v>
      </c>
      <c r="R95" s="45" t="n">
        <f aca="false">R93-R94</f>
        <v>42104.4479781724</v>
      </c>
      <c r="S95" s="45" t="n">
        <f aca="false">S93-S94</f>
        <v>45270.210208027</v>
      </c>
      <c r="T95" s="45" t="n">
        <f aca="false">T93-T94</f>
        <v>48545.6505769911</v>
      </c>
      <c r="U95" s="45" t="n">
        <f aca="false">U93-U94</f>
        <v>53710.6277942598</v>
      </c>
      <c r="V95" s="45" t="n">
        <f aca="false">V93-V94</f>
        <v>58852.1004745023</v>
      </c>
      <c r="W95" s="45" t="n">
        <f aca="false">W93-W94</f>
        <v>63974.3371651481</v>
      </c>
      <c r="X95" s="45" t="n">
        <f aca="false">X93-X94</f>
        <v>69195.1809319817</v>
      </c>
      <c r="Y95" s="45" t="n">
        <f aca="false">Y93-Y94</f>
        <v>74380.4282738875</v>
      </c>
      <c r="Z95" s="45" t="n">
        <f aca="false">Z93-Z94</f>
        <v>79497.048918596</v>
      </c>
      <c r="AA95" s="45" t="n">
        <f aca="false">AA93-AA94</f>
        <v>84678.8141109262</v>
      </c>
      <c r="AB95" s="45" t="n">
        <f aca="false">AB93-AB94</f>
        <v>89715.8302578758</v>
      </c>
      <c r="AC95" s="45" t="n">
        <f aca="false">AC93-AC94</f>
        <v>94801.6638674071</v>
      </c>
      <c r="AD95" s="45" t="n">
        <f aca="false">AD93-AD94</f>
        <v>100126.399674974</v>
      </c>
      <c r="AE95" s="45" t="n">
        <f aca="false">AE93-AE94</f>
        <v>105570.983922356</v>
      </c>
      <c r="AF95" s="45" t="n">
        <f aca="false">AF93-AF94</f>
        <v>112951.138743329</v>
      </c>
      <c r="AG95" s="45" t="n">
        <f aca="false">AG93-AG94</f>
        <v>120472.615949644</v>
      </c>
      <c r="AH95" s="45" t="n">
        <f aca="false">AH93-AH94</f>
        <v>127865.948880758</v>
      </c>
      <c r="AI95" s="45" t="n">
        <f aca="false">AI93-AI94</f>
        <v>135326.239251755</v>
      </c>
      <c r="AJ95" s="45" t="n">
        <f aca="false">AJ93-AJ94</f>
        <v>142755.817367908</v>
      </c>
      <c r="AK95" s="45" t="n">
        <f aca="false">AK93-AK94</f>
        <v>150073.049759268</v>
      </c>
      <c r="AL95" s="45" t="n">
        <f aca="false">AL93-AL94</f>
        <v>157223.629336812</v>
      </c>
      <c r="AM95" s="45" t="n">
        <f aca="false">AM93-AM94</f>
        <v>164477.564627823</v>
      </c>
      <c r="AO95" s="45" t="n">
        <f aca="false">INDEX($D95:$AM95,(AO$4-annee_debut)*12+12)</f>
        <v>33299.2398847168</v>
      </c>
      <c r="AP95" s="45" t="n">
        <f aca="false">INDEX($D95:$AM95,(AP$4-annee_debut)*12+12)</f>
        <v>84678.8141109262</v>
      </c>
      <c r="AQ95" s="45" t="n">
        <f aca="false">INDEX($D95:$AM95,(AQ$4-annee_debut)*12+12)</f>
        <v>164477.564627823</v>
      </c>
    </row>
    <row r="96" customFormat="false" ht="15" hidden="false" customHeight="false" outlineLevel="0" collapsed="false">
      <c r="A96" s="10" t="s">
        <v>334</v>
      </c>
      <c r="B96" s="13" t="s">
        <v>161</v>
      </c>
      <c r="C96" s="50" t="n">
        <v>0</v>
      </c>
      <c r="D96" s="45" t="n">
        <f aca="false">C96+IF(D$6=mois_apport,apport,0)+part_nominale*(IF(D$6=mois_levee,levee,0)+D85/(1-decote_tranche))</f>
        <v>51612.9032258065</v>
      </c>
      <c r="E96" s="45" t="n">
        <f aca="false">D96+IF(E$6=mois_apport,apport,0)+part_nominale*(IF(E$6=mois_levee,levee,0)+E85/(1-decote_tranche))</f>
        <v>51612.9032258065</v>
      </c>
      <c r="F96" s="45" t="n">
        <f aca="false">E96+IF(F$6=mois_apport,apport,0)+part_nominale*(IF(F$6=mois_levee,levee,0)+F85/(1-decote_tranche))</f>
        <v>51612.9032258065</v>
      </c>
      <c r="G96" s="45" t="n">
        <f aca="false">F96+IF(G$6=mois_apport,apport,0)+part_nominale*(IF(G$6=mois_levee,levee,0)+G85/(1-decote_tranche))</f>
        <v>51612.9032258065</v>
      </c>
      <c r="H96" s="45" t="n">
        <f aca="false">G96+IF(H$6=mois_apport,apport,0)+part_nominale*(IF(H$6=mois_levee,levee,0)+H85/(1-decote_tranche))</f>
        <v>51612.9032258065</v>
      </c>
      <c r="I96" s="45" t="n">
        <f aca="false">H96+IF(I$6=mois_apport,apport,0)+part_nominale*(IF(I$6=mois_levee,levee,0)+I85/(1-decote_tranche))</f>
        <v>51612.9032258065</v>
      </c>
      <c r="J96" s="45" t="n">
        <f aca="false">I96+IF(J$6=mois_apport,apport,0)+part_nominale*(IF(J$6=mois_levee,levee,0)+J85/(1-decote_tranche))</f>
        <v>51612.9032258065</v>
      </c>
      <c r="K96" s="45" t="n">
        <f aca="false">J96+IF(K$6=mois_apport,apport,0)+part_nominale*(IF(K$6=mois_levee,levee,0)+K85/(1-decote_tranche))</f>
        <v>51612.9032258065</v>
      </c>
      <c r="L96" s="45" t="n">
        <f aca="false">K96+IF(L$6=mois_apport,apport,0)+part_nominale*(IF(L$6=mois_levee,levee,0)+L85/(1-decote_tranche))</f>
        <v>51612.9032258065</v>
      </c>
      <c r="M96" s="45" t="n">
        <f aca="false">L96+IF(M$6=mois_apport,apport,0)+part_nominale*(IF(M$6=mois_levee,levee,0)+M85/(1-decote_tranche))</f>
        <v>51612.9032258065</v>
      </c>
      <c r="N96" s="45" t="n">
        <f aca="false">M96+IF(N$6=mois_apport,apport,0)+part_nominale*(IF(N$6=mois_levee,levee,0)+N85/(1-decote_tranche))</f>
        <v>51612.9032258065</v>
      </c>
      <c r="O96" s="45" t="n">
        <f aca="false">N96+IF(O$6=mois_apport,apport,0)+part_nominale*(IF(O$6=mois_levee,levee,0)+O85/(1-decote_tranche))</f>
        <v>51612.9032258065</v>
      </c>
      <c r="P96" s="45" t="n">
        <f aca="false">O96+IF(P$6=mois_apport,apport,0)+part_nominale*(IF(P$6=mois_levee,levee,0)+P85/(1-decote_tranche))</f>
        <v>51612.9032258065</v>
      </c>
      <c r="Q96" s="45" t="n">
        <f aca="false">P96+IF(Q$6=mois_apport,apport,0)+part_nominale*(IF(Q$6=mois_levee,levee,0)+Q85/(1-decote_tranche))</f>
        <v>51612.9032258065</v>
      </c>
      <c r="R96" s="45" t="n">
        <f aca="false">Q96+IF(R$6=mois_apport,apport,0)+part_nominale*(IF(R$6=mois_levee,levee,0)+R85/(1-decote_tranche))</f>
        <v>51612.9032258065</v>
      </c>
      <c r="S96" s="45" t="n">
        <f aca="false">R96+IF(S$6=mois_apport,apport,0)+part_nominale*(IF(S$6=mois_levee,levee,0)+S85/(1-decote_tranche))</f>
        <v>51612.9032258065</v>
      </c>
      <c r="T96" s="45" t="n">
        <f aca="false">S96+IF(T$6=mois_apport,apport,0)+part_nominale*(IF(T$6=mois_levee,levee,0)+T85/(1-decote_tranche))</f>
        <v>51612.9032258065</v>
      </c>
      <c r="U96" s="45" t="n">
        <f aca="false">T96+IF(U$6=mois_apport,apport,0)+part_nominale*(IF(U$6=mois_levee,levee,0)+U85/(1-decote_tranche))</f>
        <v>51612.9032258065</v>
      </c>
      <c r="V96" s="45" t="n">
        <f aca="false">U96+IF(V$6=mois_apport,apport,0)+part_nominale*(IF(V$6=mois_levee,levee,0)+V85/(1-decote_tranche))</f>
        <v>51612.9032258065</v>
      </c>
      <c r="W96" s="45" t="n">
        <f aca="false">V96+IF(W$6=mois_apport,apport,0)+part_nominale*(IF(W$6=mois_levee,levee,0)+W85/(1-decote_tranche))</f>
        <v>51612.9032258065</v>
      </c>
      <c r="X96" s="45" t="n">
        <f aca="false">W96+IF(X$6=mois_apport,apport,0)+part_nominale*(IF(X$6=mois_levee,levee,0)+X85/(1-decote_tranche))</f>
        <v>51612.9032258065</v>
      </c>
      <c r="Y96" s="45" t="n">
        <f aca="false">X96+IF(Y$6=mois_apport,apport,0)+part_nominale*(IF(Y$6=mois_levee,levee,0)+Y85/(1-decote_tranche))</f>
        <v>51612.9032258065</v>
      </c>
      <c r="Z96" s="45" t="n">
        <f aca="false">Y96+IF(Z$6=mois_apport,apport,0)+part_nominale*(IF(Z$6=mois_levee,levee,0)+Z85/(1-decote_tranche))</f>
        <v>51612.9032258065</v>
      </c>
      <c r="AA96" s="45" t="n">
        <f aca="false">Z96+IF(AA$6=mois_apport,apport,0)+part_nominale*(IF(AA$6=mois_levee,levee,0)+AA85/(1-decote_tranche))</f>
        <v>51612.9032258065</v>
      </c>
      <c r="AB96" s="45" t="n">
        <f aca="false">AA96+IF(AB$6=mois_apport,apport,0)+part_nominale*(IF(AB$6=mois_levee,levee,0)+AB85/(1-decote_tranche))</f>
        <v>51612.9032258065</v>
      </c>
      <c r="AC96" s="45" t="n">
        <f aca="false">AB96+IF(AC$6=mois_apport,apport,0)+part_nominale*(IF(AC$6=mois_levee,levee,0)+AC85/(1-decote_tranche))</f>
        <v>51612.9032258065</v>
      </c>
      <c r="AD96" s="45" t="n">
        <f aca="false">AC96+IF(AD$6=mois_apport,apport,0)+part_nominale*(IF(AD$6=mois_levee,levee,0)+AD85/(1-decote_tranche))</f>
        <v>51612.9032258065</v>
      </c>
      <c r="AE96" s="45" t="n">
        <f aca="false">AD96+IF(AE$6=mois_apport,apport,0)+part_nominale*(IF(AE$6=mois_levee,levee,0)+AE85/(1-decote_tranche))</f>
        <v>51612.9032258065</v>
      </c>
      <c r="AF96" s="45" t="n">
        <f aca="false">AE96+IF(AF$6=mois_apport,apport,0)+part_nominale*(IF(AF$6=mois_levee,levee,0)+AF85/(1-decote_tranche))</f>
        <v>51612.9032258065</v>
      </c>
      <c r="AG96" s="45" t="n">
        <f aca="false">AF96+IF(AG$6=mois_apport,apport,0)+part_nominale*(IF(AG$6=mois_levee,levee,0)+AG85/(1-decote_tranche))</f>
        <v>51612.9032258065</v>
      </c>
      <c r="AH96" s="45" t="n">
        <f aca="false">AG96+IF(AH$6=mois_apport,apport,0)+part_nominale*(IF(AH$6=mois_levee,levee,0)+AH85/(1-decote_tranche))</f>
        <v>51612.9032258065</v>
      </c>
      <c r="AI96" s="45" t="n">
        <f aca="false">AH96+IF(AI$6=mois_apport,apport,0)+part_nominale*(IF(AI$6=mois_levee,levee,0)+AI85/(1-decote_tranche))</f>
        <v>51612.9032258065</v>
      </c>
      <c r="AJ96" s="45" t="n">
        <f aca="false">AI96+IF(AJ$6=mois_apport,apport,0)+part_nominale*(IF(AJ$6=mois_levee,levee,0)+AJ85/(1-decote_tranche))</f>
        <v>51612.9032258065</v>
      </c>
      <c r="AK96" s="45" t="n">
        <f aca="false">AJ96+IF(AK$6=mois_apport,apport,0)+part_nominale*(IF(AK$6=mois_levee,levee,0)+AK85/(1-decote_tranche))</f>
        <v>51612.9032258065</v>
      </c>
      <c r="AL96" s="45" t="n">
        <f aca="false">AK96+IF(AL$6=mois_apport,apport,0)+part_nominale*(IF(AL$6=mois_levee,levee,0)+AL85/(1-decote_tranche))</f>
        <v>51612.9032258065</v>
      </c>
      <c r="AM96" s="45" t="n">
        <f aca="false">AL96+IF(AM$6=mois_apport,apport,0)+part_nominale*(IF(AM$6=mois_levee,levee,0)+AM85/(1-decote_tranche))</f>
        <v>51612.9032258065</v>
      </c>
      <c r="AO96" s="45" t="n">
        <f aca="false">INDEX($D96:$AM96,(AO$4-annee_debut)*12+12)</f>
        <v>51612.9032258065</v>
      </c>
      <c r="AP96" s="45" t="n">
        <f aca="false">INDEX($D96:$AM96,(AP$4-annee_debut)*12+12)</f>
        <v>51612.9032258065</v>
      </c>
      <c r="AQ96" s="45" t="n">
        <f aca="false">INDEX($D96:$AM96,(AQ$4-annee_debut)*12+12)</f>
        <v>51612.9032258065</v>
      </c>
    </row>
    <row r="97" customFormat="false" ht="15" hidden="false" customHeight="false" outlineLevel="0" collapsed="false">
      <c r="A97" s="10" t="s">
        <v>335</v>
      </c>
      <c r="B97" s="13" t="s">
        <v>161</v>
      </c>
      <c r="C97" s="50" t="n">
        <v>0</v>
      </c>
      <c r="D97" s="45" t="n">
        <f aca="false">C97+(1-part_nominale)*IF(D$6=mois_levee,levee,0)+D85*(1-part_nominale/(1-decote_tranche))</f>
        <v>688387.096774194</v>
      </c>
      <c r="E97" s="45" t="n">
        <f aca="false">D97+(1-part_nominale)*IF(E$6=mois_levee,levee,0)+E85*(1-part_nominale/(1-decote_tranche))</f>
        <v>688387.096774194</v>
      </c>
      <c r="F97" s="45" t="n">
        <f aca="false">E97+(1-part_nominale)*IF(F$6=mois_levee,levee,0)+F85*(1-part_nominale/(1-decote_tranche))</f>
        <v>688387.096774194</v>
      </c>
      <c r="G97" s="45" t="n">
        <f aca="false">F97+(1-part_nominale)*IF(G$6=mois_levee,levee,0)+G85*(1-part_nominale/(1-decote_tranche))</f>
        <v>688387.096774194</v>
      </c>
      <c r="H97" s="45" t="n">
        <f aca="false">G97+(1-part_nominale)*IF(H$6=mois_levee,levee,0)+H85*(1-part_nominale/(1-decote_tranche))</f>
        <v>688387.096774194</v>
      </c>
      <c r="I97" s="45" t="n">
        <f aca="false">H97+(1-part_nominale)*IF(I$6=mois_levee,levee,0)+I85*(1-part_nominale/(1-decote_tranche))</f>
        <v>688387.096774194</v>
      </c>
      <c r="J97" s="45" t="n">
        <f aca="false">I97+(1-part_nominale)*IF(J$6=mois_levee,levee,0)+J85*(1-part_nominale/(1-decote_tranche))</f>
        <v>688387.096774194</v>
      </c>
      <c r="K97" s="45" t="n">
        <f aca="false">J97+(1-part_nominale)*IF(K$6=mois_levee,levee,0)+K85*(1-part_nominale/(1-decote_tranche))</f>
        <v>688387.096774194</v>
      </c>
      <c r="L97" s="45" t="n">
        <f aca="false">K97+(1-part_nominale)*IF(L$6=mois_levee,levee,0)+L85*(1-part_nominale/(1-decote_tranche))</f>
        <v>688387.096774194</v>
      </c>
      <c r="M97" s="45" t="n">
        <f aca="false">L97+(1-part_nominale)*IF(M$6=mois_levee,levee,0)+M85*(1-part_nominale/(1-decote_tranche))</f>
        <v>688387.096774194</v>
      </c>
      <c r="N97" s="45" t="n">
        <f aca="false">M97+(1-part_nominale)*IF(N$6=mois_levee,levee,0)+N85*(1-part_nominale/(1-decote_tranche))</f>
        <v>688387.096774194</v>
      </c>
      <c r="O97" s="45" t="n">
        <f aca="false">N97+(1-part_nominale)*IF(O$6=mois_levee,levee,0)+O85*(1-part_nominale/(1-decote_tranche))</f>
        <v>688387.096774194</v>
      </c>
      <c r="P97" s="45" t="n">
        <f aca="false">O97+(1-part_nominale)*IF(P$6=mois_levee,levee,0)+P85*(1-part_nominale/(1-decote_tranche))</f>
        <v>688387.096774194</v>
      </c>
      <c r="Q97" s="45" t="n">
        <f aca="false">P97+(1-part_nominale)*IF(Q$6=mois_levee,levee,0)+Q85*(1-part_nominale/(1-decote_tranche))</f>
        <v>688387.096774194</v>
      </c>
      <c r="R97" s="45" t="n">
        <f aca="false">Q97+(1-part_nominale)*IF(R$6=mois_levee,levee,0)+R85*(1-part_nominale/(1-decote_tranche))</f>
        <v>688387.096774194</v>
      </c>
      <c r="S97" s="45" t="n">
        <f aca="false">R97+(1-part_nominale)*IF(S$6=mois_levee,levee,0)+S85*(1-part_nominale/(1-decote_tranche))</f>
        <v>688387.096774194</v>
      </c>
      <c r="T97" s="45" t="n">
        <f aca="false">S97+(1-part_nominale)*IF(T$6=mois_levee,levee,0)+T85*(1-part_nominale/(1-decote_tranche))</f>
        <v>688387.096774194</v>
      </c>
      <c r="U97" s="45" t="n">
        <f aca="false">T97+(1-part_nominale)*IF(U$6=mois_levee,levee,0)+U85*(1-part_nominale/(1-decote_tranche))</f>
        <v>688387.096774194</v>
      </c>
      <c r="V97" s="45" t="n">
        <f aca="false">U97+(1-part_nominale)*IF(V$6=mois_levee,levee,0)+V85*(1-part_nominale/(1-decote_tranche))</f>
        <v>688387.096774194</v>
      </c>
      <c r="W97" s="45" t="n">
        <f aca="false">V97+(1-part_nominale)*IF(W$6=mois_levee,levee,0)+W85*(1-part_nominale/(1-decote_tranche))</f>
        <v>688387.096774194</v>
      </c>
      <c r="X97" s="45" t="n">
        <f aca="false">W97+(1-part_nominale)*IF(X$6=mois_levee,levee,0)+X85*(1-part_nominale/(1-decote_tranche))</f>
        <v>688387.096774194</v>
      </c>
      <c r="Y97" s="45" t="n">
        <f aca="false">X97+(1-part_nominale)*IF(Y$6=mois_levee,levee,0)+Y85*(1-part_nominale/(1-decote_tranche))</f>
        <v>688387.096774194</v>
      </c>
      <c r="Z97" s="45" t="n">
        <f aca="false">Y97+(1-part_nominale)*IF(Z$6=mois_levee,levee,0)+Z85*(1-part_nominale/(1-decote_tranche))</f>
        <v>688387.096774194</v>
      </c>
      <c r="AA97" s="45" t="n">
        <f aca="false">Z97+(1-part_nominale)*IF(AA$6=mois_levee,levee,0)+AA85*(1-part_nominale/(1-decote_tranche))</f>
        <v>688387.096774194</v>
      </c>
      <c r="AB97" s="45" t="n">
        <f aca="false">AA97+(1-part_nominale)*IF(AB$6=mois_levee,levee,0)+AB85*(1-part_nominale/(1-decote_tranche))</f>
        <v>688387.096774194</v>
      </c>
      <c r="AC97" s="45" t="n">
        <f aca="false">AB97+(1-part_nominale)*IF(AC$6=mois_levee,levee,0)+AC85*(1-part_nominale/(1-decote_tranche))</f>
        <v>688387.096774194</v>
      </c>
      <c r="AD97" s="45" t="n">
        <f aca="false">AC97+(1-part_nominale)*IF(AD$6=mois_levee,levee,0)+AD85*(1-part_nominale/(1-decote_tranche))</f>
        <v>688387.096774194</v>
      </c>
      <c r="AE97" s="45" t="n">
        <f aca="false">AD97+(1-part_nominale)*IF(AE$6=mois_levee,levee,0)+AE85*(1-part_nominale/(1-decote_tranche))</f>
        <v>688387.096774194</v>
      </c>
      <c r="AF97" s="45" t="n">
        <f aca="false">AE97+(1-part_nominale)*IF(AF$6=mois_levee,levee,0)+AF85*(1-part_nominale/(1-decote_tranche))</f>
        <v>688387.096774194</v>
      </c>
      <c r="AG97" s="45" t="n">
        <f aca="false">AF97+(1-part_nominale)*IF(AG$6=mois_levee,levee,0)+AG85*(1-part_nominale/(1-decote_tranche))</f>
        <v>688387.096774194</v>
      </c>
      <c r="AH97" s="45" t="n">
        <f aca="false">AG97+(1-part_nominale)*IF(AH$6=mois_levee,levee,0)+AH85*(1-part_nominale/(1-decote_tranche))</f>
        <v>688387.096774194</v>
      </c>
      <c r="AI97" s="45" t="n">
        <f aca="false">AH97+(1-part_nominale)*IF(AI$6=mois_levee,levee,0)+AI85*(1-part_nominale/(1-decote_tranche))</f>
        <v>688387.096774194</v>
      </c>
      <c r="AJ97" s="45" t="n">
        <f aca="false">AI97+(1-part_nominale)*IF(AJ$6=mois_levee,levee,0)+AJ85*(1-part_nominale/(1-decote_tranche))</f>
        <v>688387.096774194</v>
      </c>
      <c r="AK97" s="45" t="n">
        <f aca="false">AJ97+(1-part_nominale)*IF(AK$6=mois_levee,levee,0)+AK85*(1-part_nominale/(1-decote_tranche))</f>
        <v>688387.096774194</v>
      </c>
      <c r="AL97" s="45" t="n">
        <f aca="false">AK97+(1-part_nominale)*IF(AL$6=mois_levee,levee,0)+AL85*(1-part_nominale/(1-decote_tranche))</f>
        <v>688387.096774194</v>
      </c>
      <c r="AM97" s="45" t="n">
        <f aca="false">AL97+(1-part_nominale)*IF(AM$6=mois_levee,levee,0)+AM85*(1-part_nominale/(1-decote_tranche))</f>
        <v>688387.096774194</v>
      </c>
      <c r="AO97" s="45" t="n">
        <f aca="false">INDEX($D97:$AM97,(AO$4-annee_debut)*12+12)</f>
        <v>688387.096774194</v>
      </c>
      <c r="AP97" s="45" t="n">
        <f aca="false">INDEX($D97:$AM97,(AP$4-annee_debut)*12+12)</f>
        <v>688387.096774194</v>
      </c>
      <c r="AQ97" s="45" t="n">
        <f aca="false">INDEX($D97:$AM97,(AQ$4-annee_debut)*12+12)</f>
        <v>688387.096774194</v>
      </c>
    </row>
    <row r="98" customFormat="false" ht="15" hidden="false" customHeight="false" outlineLevel="0" collapsed="false">
      <c r="A98" s="10" t="s">
        <v>336</v>
      </c>
      <c r="B98" s="13" t="s">
        <v>161</v>
      </c>
      <c r="C98" s="50" t="n">
        <v>0</v>
      </c>
      <c r="D98" s="45" t="n">
        <f aca="false">C98+D75</f>
        <v>-21789.9608412698</v>
      </c>
      <c r="E98" s="45" t="n">
        <f aca="false">D98+E75</f>
        <v>-42727.8409625397</v>
      </c>
      <c r="F98" s="45" t="n">
        <f aca="false">E98+F75</f>
        <v>-61708.236062455</v>
      </c>
      <c r="G98" s="45" t="n">
        <f aca="false">F98+G75</f>
        <v>-83565.2080990646</v>
      </c>
      <c r="H98" s="45" t="n">
        <f aca="false">G98+H75</f>
        <v>-103319.416085834</v>
      </c>
      <c r="I98" s="45" t="n">
        <f aca="false">H98+I75</f>
        <v>-120861.022331058</v>
      </c>
      <c r="J98" s="45" t="n">
        <f aca="false">I98+J75</f>
        <v>-136690.565152885</v>
      </c>
      <c r="K98" s="45" t="n">
        <f aca="false">J98+K75</f>
        <v>-153717.948983828</v>
      </c>
      <c r="L98" s="45" t="n">
        <f aca="false">K98+L75</f>
        <v>-165743.596360168</v>
      </c>
      <c r="M98" s="45" t="n">
        <f aca="false">L98+M75</f>
        <v>-180176.77831698</v>
      </c>
      <c r="N98" s="45" t="n">
        <f aca="false">M98+N75</f>
        <v>-193302.979820051</v>
      </c>
      <c r="O98" s="45" t="n">
        <f aca="false">N98+O75</f>
        <v>-204278.318546641</v>
      </c>
      <c r="P98" s="45" t="n">
        <f aca="false">O98+P75</f>
        <v>-220940.114081228</v>
      </c>
      <c r="Q98" s="45" t="n">
        <f aca="false">P98+Q75</f>
        <v>-236903.473026571</v>
      </c>
      <c r="R98" s="45" t="n">
        <f aca="false">Q98+R75</f>
        <v>-248115.184455551</v>
      </c>
      <c r="S98" s="45" t="n">
        <f aca="false">R98+S75</f>
        <v>-259137.526296135</v>
      </c>
      <c r="T98" s="45" t="n">
        <f aca="false">S98+T75</f>
        <v>-265615.132650617</v>
      </c>
      <c r="U98" s="45" t="n">
        <f aca="false">T98+U75</f>
        <v>-269801.287733387</v>
      </c>
      <c r="V98" s="45" t="n">
        <f aca="false">U98+V75</f>
        <v>-279364.600148648</v>
      </c>
      <c r="W98" s="45" t="n">
        <f aca="false">V98+W75</f>
        <v>-293099.075266927</v>
      </c>
      <c r="X98" s="45" t="n">
        <f aca="false">W98+X75</f>
        <v>-298823.622855628</v>
      </c>
      <c r="Y98" s="45" t="n">
        <f aca="false">X98+Y75</f>
        <v>-302240.216745496</v>
      </c>
      <c r="Z98" s="45" t="n">
        <f aca="false">Y98+Z75</f>
        <v>-303584.795600812</v>
      </c>
      <c r="AA98" s="45" t="n">
        <f aca="false">Z98+AA75</f>
        <v>-300227.823867792</v>
      </c>
      <c r="AB98" s="45" t="n">
        <f aca="false">AA98+AB75</f>
        <v>-298937.848391509</v>
      </c>
      <c r="AC98" s="45" t="n">
        <f aca="false">AB98+AC75</f>
        <v>-292462.554666268</v>
      </c>
      <c r="AD98" s="45" t="n">
        <f aca="false">AC98+AD75</f>
        <v>-284603.72024317</v>
      </c>
      <c r="AE98" s="45" t="n">
        <f aca="false">AD98+AE75</f>
        <v>-270652.718433153</v>
      </c>
      <c r="AF98" s="45" t="n">
        <f aca="false">AE98+AF75</f>
        <v>-255786.898365738</v>
      </c>
      <c r="AG98" s="45" t="n">
        <f aca="false">AF98+AG75</f>
        <v>-236474.960941214</v>
      </c>
      <c r="AH98" s="45" t="n">
        <f aca="false">AG98+AH75</f>
        <v>-214723.36918953</v>
      </c>
      <c r="AI98" s="45" t="n">
        <f aca="false">AH98+AI75</f>
        <v>-203618.459046337</v>
      </c>
      <c r="AJ98" s="45" t="n">
        <f aca="false">AI98+AJ75</f>
        <v>-174980.159509382</v>
      </c>
      <c r="AK98" s="45" t="n">
        <f aca="false">AJ98+AK75</f>
        <v>-143710.96627518</v>
      </c>
      <c r="AL98" s="45" t="n">
        <f aca="false">AK98+AL75</f>
        <v>-110396.347085077</v>
      </c>
      <c r="AM98" s="45" t="n">
        <f aca="false">AL98+AM75</f>
        <v>-72799.080721885</v>
      </c>
      <c r="AO98" s="45" t="n">
        <f aca="false">INDEX($D98:$AM98,(AO$4-annee_debut)*12+12)</f>
        <v>-204278.318546641</v>
      </c>
      <c r="AP98" s="45" t="n">
        <f aca="false">INDEX($D98:$AM98,(AP$4-annee_debut)*12+12)</f>
        <v>-300227.823867792</v>
      </c>
      <c r="AQ98" s="45" t="n">
        <f aca="false">INDEX($D98:$AM98,(AQ$4-annee_debut)*12+12)</f>
        <v>-72799.080721885</v>
      </c>
    </row>
    <row r="99" customFormat="false" ht="15" hidden="false" customHeight="false" outlineLevel="0" collapsed="false">
      <c r="A99" s="10" t="s">
        <v>337</v>
      </c>
      <c r="B99" s="13" t="s">
        <v>161</v>
      </c>
      <c r="C99" s="50" t="n">
        <v>0</v>
      </c>
      <c r="D99" s="45" t="n">
        <f aca="false">D96+D97+D98</f>
        <v>718210.03915873</v>
      </c>
      <c r="E99" s="45" t="n">
        <f aca="false">E96+E97+E98</f>
        <v>697272.15903746</v>
      </c>
      <c r="F99" s="45" t="n">
        <f aca="false">F96+F97+F98</f>
        <v>678291.763937545</v>
      </c>
      <c r="G99" s="45" t="n">
        <f aca="false">G96+G97+G98</f>
        <v>656434.791900935</v>
      </c>
      <c r="H99" s="45" t="n">
        <f aca="false">H96+H97+H98</f>
        <v>636680.583914166</v>
      </c>
      <c r="I99" s="45" t="n">
        <f aca="false">I96+I97+I98</f>
        <v>619138.977668942</v>
      </c>
      <c r="J99" s="45" t="n">
        <f aca="false">J96+J97+J98</f>
        <v>603309.434847115</v>
      </c>
      <c r="K99" s="45" t="n">
        <f aca="false">K96+K97+K98</f>
        <v>586282.051016172</v>
      </c>
      <c r="L99" s="45" t="n">
        <f aca="false">L96+L97+L98</f>
        <v>574256.403639832</v>
      </c>
      <c r="M99" s="45" t="n">
        <f aca="false">M96+M97+M98</f>
        <v>559823.22168302</v>
      </c>
      <c r="N99" s="45" t="n">
        <f aca="false">N96+N97+N98</f>
        <v>546697.020179949</v>
      </c>
      <c r="O99" s="45" t="n">
        <f aca="false">O96+O97+O98</f>
        <v>535721.681453359</v>
      </c>
      <c r="P99" s="45" t="n">
        <f aca="false">P96+P97+P98</f>
        <v>519059.885918772</v>
      </c>
      <c r="Q99" s="45" t="n">
        <f aca="false">Q96+Q97+Q98</f>
        <v>503096.526973429</v>
      </c>
      <c r="R99" s="45" t="n">
        <f aca="false">R96+R97+R98</f>
        <v>491884.815544449</v>
      </c>
      <c r="S99" s="45" t="n">
        <f aca="false">S96+S97+S98</f>
        <v>480862.473703865</v>
      </c>
      <c r="T99" s="45" t="n">
        <f aca="false">T96+T97+T98</f>
        <v>474384.867349383</v>
      </c>
      <c r="U99" s="45" t="n">
        <f aca="false">U96+U97+U98</f>
        <v>470198.712266613</v>
      </c>
      <c r="V99" s="45" t="n">
        <f aca="false">V96+V97+V98</f>
        <v>460635.399851352</v>
      </c>
      <c r="W99" s="45" t="n">
        <f aca="false">W96+W97+W98</f>
        <v>446900.924733074</v>
      </c>
      <c r="X99" s="45" t="n">
        <f aca="false">X96+X97+X98</f>
        <v>441176.377144372</v>
      </c>
      <c r="Y99" s="45" t="n">
        <f aca="false">Y96+Y97+Y98</f>
        <v>437759.783254504</v>
      </c>
      <c r="Z99" s="45" t="n">
        <f aca="false">Z96+Z97+Z98</f>
        <v>436415.204399188</v>
      </c>
      <c r="AA99" s="45" t="n">
        <f aca="false">AA96+AA97+AA98</f>
        <v>439772.176132208</v>
      </c>
      <c r="AB99" s="45" t="n">
        <f aca="false">AB96+AB97+AB98</f>
        <v>441062.151608491</v>
      </c>
      <c r="AC99" s="45" t="n">
        <f aca="false">AC96+AC97+AC98</f>
        <v>447537.445333732</v>
      </c>
      <c r="AD99" s="45" t="n">
        <f aca="false">AD96+AD97+AD98</f>
        <v>455396.27975683</v>
      </c>
      <c r="AE99" s="45" t="n">
        <f aca="false">AE96+AE97+AE98</f>
        <v>469347.281566847</v>
      </c>
      <c r="AF99" s="45" t="n">
        <f aca="false">AF96+AF97+AF98</f>
        <v>484213.101634262</v>
      </c>
      <c r="AG99" s="45" t="n">
        <f aca="false">AG96+AG97+AG98</f>
        <v>503525.039058786</v>
      </c>
      <c r="AH99" s="45" t="n">
        <f aca="false">AH96+AH97+AH98</f>
        <v>525276.63081047</v>
      </c>
      <c r="AI99" s="45" t="n">
        <f aca="false">AI96+AI97+AI98</f>
        <v>536381.540953663</v>
      </c>
      <c r="AJ99" s="45" t="n">
        <f aca="false">AJ96+AJ97+AJ98</f>
        <v>565019.840490618</v>
      </c>
      <c r="AK99" s="45" t="n">
        <f aca="false">AK96+AK97+AK98</f>
        <v>596289.033724821</v>
      </c>
      <c r="AL99" s="45" t="n">
        <f aca="false">AL96+AL97+AL98</f>
        <v>629603.652914923</v>
      </c>
      <c r="AM99" s="45" t="n">
        <f aca="false">AM96+AM97+AM98</f>
        <v>667200.919278115</v>
      </c>
      <c r="AO99" s="45" t="n">
        <f aca="false">INDEX($D99:$AM99,(AO$4-annee_debut)*12+12)</f>
        <v>535721.681453359</v>
      </c>
      <c r="AP99" s="45" t="n">
        <f aca="false">INDEX($D99:$AM99,(AP$4-annee_debut)*12+12)</f>
        <v>439772.176132208</v>
      </c>
      <c r="AQ99" s="45" t="n">
        <f aca="false">INDEX($D99:$AM99,(AQ$4-annee_debut)*12+12)</f>
        <v>667200.919278115</v>
      </c>
    </row>
    <row r="100" customFormat="false" ht="15" hidden="false" customHeight="false" outlineLevel="0" collapsed="false">
      <c r="A100" s="10" t="s">
        <v>338</v>
      </c>
      <c r="B100" s="13" t="s">
        <v>161</v>
      </c>
      <c r="C100" s="50" t="n">
        <v>0</v>
      </c>
      <c r="D100" s="45" t="n">
        <f aca="false">C100+IF(D$6=mois_apport,comptes_courants,0)</f>
        <v>60000</v>
      </c>
      <c r="E100" s="45" t="n">
        <f aca="false">D100+IF(E$6=mois_apport,comptes_courants,0)</f>
        <v>60000</v>
      </c>
      <c r="F100" s="45" t="n">
        <f aca="false">E100+IF(F$6=mois_apport,comptes_courants,0)</f>
        <v>60000</v>
      </c>
      <c r="G100" s="45" t="n">
        <f aca="false">F100+IF(G$6=mois_apport,comptes_courants,0)</f>
        <v>60000</v>
      </c>
      <c r="H100" s="45" t="n">
        <f aca="false">G100+IF(H$6=mois_apport,comptes_courants,0)</f>
        <v>60000</v>
      </c>
      <c r="I100" s="45" t="n">
        <f aca="false">H100+IF(I$6=mois_apport,comptes_courants,0)</f>
        <v>60000</v>
      </c>
      <c r="J100" s="45" t="n">
        <f aca="false">I100+IF(J$6=mois_apport,comptes_courants,0)</f>
        <v>60000</v>
      </c>
      <c r="K100" s="45" t="n">
        <f aca="false">J100+IF(K$6=mois_apport,comptes_courants,0)</f>
        <v>60000</v>
      </c>
      <c r="L100" s="45" t="n">
        <f aca="false">K100+IF(L$6=mois_apport,comptes_courants,0)</f>
        <v>60000</v>
      </c>
      <c r="M100" s="45" t="n">
        <f aca="false">L100+IF(M$6=mois_apport,comptes_courants,0)</f>
        <v>60000</v>
      </c>
      <c r="N100" s="45" t="n">
        <f aca="false">M100+IF(N$6=mois_apport,comptes_courants,0)</f>
        <v>60000</v>
      </c>
      <c r="O100" s="45" t="n">
        <f aca="false">N100+IF(O$6=mois_apport,comptes_courants,0)</f>
        <v>60000</v>
      </c>
      <c r="P100" s="45" t="n">
        <f aca="false">O100+IF(P$6=mois_apport,comptes_courants,0)</f>
        <v>60000</v>
      </c>
      <c r="Q100" s="45" t="n">
        <f aca="false">P100+IF(Q$6=mois_apport,comptes_courants,0)</f>
        <v>60000</v>
      </c>
      <c r="R100" s="45" t="n">
        <f aca="false">Q100+IF(R$6=mois_apport,comptes_courants,0)</f>
        <v>60000</v>
      </c>
      <c r="S100" s="45" t="n">
        <f aca="false">R100+IF(S$6=mois_apport,comptes_courants,0)</f>
        <v>60000</v>
      </c>
      <c r="T100" s="45" t="n">
        <f aca="false">S100+IF(T$6=mois_apport,comptes_courants,0)</f>
        <v>60000</v>
      </c>
      <c r="U100" s="45" t="n">
        <f aca="false">T100+IF(U$6=mois_apport,comptes_courants,0)</f>
        <v>60000</v>
      </c>
      <c r="V100" s="45" t="n">
        <f aca="false">U100+IF(V$6=mois_apport,comptes_courants,0)</f>
        <v>60000</v>
      </c>
      <c r="W100" s="45" t="n">
        <f aca="false">V100+IF(W$6=mois_apport,comptes_courants,0)</f>
        <v>60000</v>
      </c>
      <c r="X100" s="45" t="n">
        <f aca="false">W100+IF(X$6=mois_apport,comptes_courants,0)</f>
        <v>60000</v>
      </c>
      <c r="Y100" s="45" t="n">
        <f aca="false">X100+IF(Y$6=mois_apport,comptes_courants,0)</f>
        <v>60000</v>
      </c>
      <c r="Z100" s="45" t="n">
        <f aca="false">Y100+IF(Z$6=mois_apport,comptes_courants,0)</f>
        <v>60000</v>
      </c>
      <c r="AA100" s="45" t="n">
        <f aca="false">Z100+IF(AA$6=mois_apport,comptes_courants,0)</f>
        <v>60000</v>
      </c>
      <c r="AB100" s="45" t="n">
        <f aca="false">AA100+IF(AB$6=mois_apport,comptes_courants,0)</f>
        <v>60000</v>
      </c>
      <c r="AC100" s="45" t="n">
        <f aca="false">AB100+IF(AC$6=mois_apport,comptes_courants,0)</f>
        <v>60000</v>
      </c>
      <c r="AD100" s="45" t="n">
        <f aca="false">AC100+IF(AD$6=mois_apport,comptes_courants,0)</f>
        <v>60000</v>
      </c>
      <c r="AE100" s="45" t="n">
        <f aca="false">AD100+IF(AE$6=mois_apport,comptes_courants,0)</f>
        <v>60000</v>
      </c>
      <c r="AF100" s="45" t="n">
        <f aca="false">AE100+IF(AF$6=mois_apport,comptes_courants,0)</f>
        <v>60000</v>
      </c>
      <c r="AG100" s="45" t="n">
        <f aca="false">AF100+IF(AG$6=mois_apport,comptes_courants,0)</f>
        <v>60000</v>
      </c>
      <c r="AH100" s="45" t="n">
        <f aca="false">AG100+IF(AH$6=mois_apport,comptes_courants,0)</f>
        <v>60000</v>
      </c>
      <c r="AI100" s="45" t="n">
        <f aca="false">AH100+IF(AI$6=mois_apport,comptes_courants,0)</f>
        <v>60000</v>
      </c>
      <c r="AJ100" s="45" t="n">
        <f aca="false">AI100+IF(AJ$6=mois_apport,comptes_courants,0)</f>
        <v>60000</v>
      </c>
      <c r="AK100" s="45" t="n">
        <f aca="false">AJ100+IF(AK$6=mois_apport,comptes_courants,0)</f>
        <v>60000</v>
      </c>
      <c r="AL100" s="45" t="n">
        <f aca="false">AK100+IF(AL$6=mois_apport,comptes_courants,0)</f>
        <v>60000</v>
      </c>
      <c r="AM100" s="45" t="n">
        <f aca="false">AL100+IF(AM$6=mois_apport,comptes_courants,0)</f>
        <v>60000</v>
      </c>
      <c r="AO100" s="45" t="n">
        <f aca="false">INDEX($D100:$AM100,(AO$4-annee_debut)*12+12)</f>
        <v>60000</v>
      </c>
      <c r="AP100" s="45" t="n">
        <f aca="false">INDEX($D100:$AM100,(AP$4-annee_debut)*12+12)</f>
        <v>60000</v>
      </c>
      <c r="AQ100" s="45" t="n">
        <f aca="false">INDEX($D100:$AM100,(AQ$4-annee_debut)*12+12)</f>
        <v>60000</v>
      </c>
    </row>
    <row r="101" customFormat="false" ht="15" hidden="false" customHeight="false" outlineLevel="0" collapsed="false">
      <c r="A101" s="10" t="s">
        <v>439</v>
      </c>
      <c r="B101" s="13" t="s">
        <v>161</v>
      </c>
      <c r="C101" s="61" t="n">
        <v>0</v>
      </c>
      <c r="D101" s="26" t="n">
        <f aca="false">ROUND(D94+D77+D88-(D99+D100+D70+D78),2)</f>
        <v>0</v>
      </c>
      <c r="E101" s="26" t="n">
        <f aca="false">ROUND(E94+E77+E88-(E99+E100+E70+E78),2)</f>
        <v>0</v>
      </c>
      <c r="F101" s="26" t="n">
        <f aca="false">ROUND(F94+F77+F88-(F99+F100+F70+F78),2)</f>
        <v>0</v>
      </c>
      <c r="G101" s="26" t="n">
        <f aca="false">ROUND(G94+G77+G88-(G99+G100+G70+G78),2)</f>
        <v>0</v>
      </c>
      <c r="H101" s="26" t="n">
        <f aca="false">ROUND(H94+H77+H88-(H99+H100+H70+H78),2)</f>
        <v>0</v>
      </c>
      <c r="I101" s="26" t="n">
        <f aca="false">ROUND(I94+I77+I88-(I99+I100+I70+I78),2)</f>
        <v>0</v>
      </c>
      <c r="J101" s="26" t="n">
        <f aca="false">ROUND(J94+J77+J88-(J99+J100+J70+J78),2)</f>
        <v>0</v>
      </c>
      <c r="K101" s="26" t="n">
        <f aca="false">ROUND(K94+K77+K88-(K99+K100+K70+K78),2)</f>
        <v>0</v>
      </c>
      <c r="L101" s="26" t="n">
        <f aca="false">ROUND(L94+L77+L88-(L99+L100+L70+L78),2)</f>
        <v>0</v>
      </c>
      <c r="M101" s="26" t="n">
        <f aca="false">ROUND(M94+M77+M88-(M99+M100+M70+M78),2)</f>
        <v>0</v>
      </c>
      <c r="N101" s="26" t="n">
        <f aca="false">ROUND(N94+N77+N88-(N99+N100+N70+N78),2)</f>
        <v>0</v>
      </c>
      <c r="O101" s="26" t="n">
        <f aca="false">ROUND(O94+O77+O88-(O99+O100+O70+O78),2)</f>
        <v>0</v>
      </c>
      <c r="P101" s="26" t="n">
        <f aca="false">ROUND(P94+P77+P88-(P99+P100+P70+P78),2)</f>
        <v>0</v>
      </c>
      <c r="Q101" s="26" t="n">
        <f aca="false">ROUND(Q94+Q77+Q88-(Q99+Q100+Q70+Q78),2)</f>
        <v>0</v>
      </c>
      <c r="R101" s="26" t="n">
        <f aca="false">ROUND(R94+R77+R88-(R99+R100+R70+R78),2)</f>
        <v>0</v>
      </c>
      <c r="S101" s="26" t="n">
        <f aca="false">ROUND(S94+S77+S88-(S99+S100+S70+S78),2)</f>
        <v>0</v>
      </c>
      <c r="T101" s="26" t="n">
        <f aca="false">ROUND(T94+T77+T88-(T99+T100+T70+T78),2)</f>
        <v>0</v>
      </c>
      <c r="U101" s="26" t="n">
        <f aca="false">ROUND(U94+U77+U88-(U99+U100+U70+U78),2)</f>
        <v>0</v>
      </c>
      <c r="V101" s="26" t="n">
        <f aca="false">ROUND(V94+V77+V88-(V99+V100+V70+V78),2)</f>
        <v>0</v>
      </c>
      <c r="W101" s="26" t="n">
        <f aca="false">ROUND(W94+W77+W88-(W99+W100+W70+W78),2)</f>
        <v>0</v>
      </c>
      <c r="X101" s="26" t="n">
        <f aca="false">ROUND(X94+X77+X88-(X99+X100+X70+X78),2)</f>
        <v>0</v>
      </c>
      <c r="Y101" s="26" t="n">
        <f aca="false">ROUND(Y94+Y77+Y88-(Y99+Y100+Y70+Y78),2)</f>
        <v>0</v>
      </c>
      <c r="Z101" s="26" t="n">
        <f aca="false">ROUND(Z94+Z77+Z88-(Z99+Z100+Z70+Z78),2)</f>
        <v>0</v>
      </c>
      <c r="AA101" s="26" t="n">
        <f aca="false">ROUND(AA94+AA77+AA88-(AA99+AA100+AA70+AA78),2)</f>
        <v>0</v>
      </c>
      <c r="AB101" s="26" t="n">
        <f aca="false">ROUND(AB94+AB77+AB88-(AB99+AB100+AB70+AB78),2)</f>
        <v>0</v>
      </c>
      <c r="AC101" s="26" t="n">
        <f aca="false">ROUND(AC94+AC77+AC88-(AC99+AC100+AC70+AC78),2)</f>
        <v>0</v>
      </c>
      <c r="AD101" s="26" t="n">
        <f aca="false">ROUND(AD94+AD77+AD88-(AD99+AD100+AD70+AD78),2)</f>
        <v>0</v>
      </c>
      <c r="AE101" s="26" t="n">
        <f aca="false">ROUND(AE94+AE77+AE88-(AE99+AE100+AE70+AE78),2)</f>
        <v>0</v>
      </c>
      <c r="AF101" s="26" t="n">
        <f aca="false">ROUND(AF94+AF77+AF88-(AF99+AF100+AF70+AF78),2)</f>
        <v>0</v>
      </c>
      <c r="AG101" s="26" t="n">
        <f aca="false">ROUND(AG94+AG77+AG88-(AG99+AG100+AG70+AG78),2)</f>
        <v>0</v>
      </c>
      <c r="AH101" s="26" t="n">
        <f aca="false">ROUND(AH94+AH77+AH88-(AH99+AH100+AH70+AH78),2)</f>
        <v>0</v>
      </c>
      <c r="AI101" s="26" t="n">
        <f aca="false">ROUND(AI94+AI77+AI88-(AI99+AI100+AI70+AI78),2)</f>
        <v>0</v>
      </c>
      <c r="AJ101" s="26" t="n">
        <f aca="false">ROUND(AJ94+AJ77+AJ88-(AJ99+AJ100+AJ70+AJ78),2)</f>
        <v>0</v>
      </c>
      <c r="AK101" s="26" t="n">
        <f aca="false">ROUND(AK94+AK77+AK88-(AK99+AK100+AK70+AK78),2)</f>
        <v>0</v>
      </c>
      <c r="AL101" s="26" t="n">
        <f aca="false">ROUND(AL94+AL77+AL88-(AL99+AL100+AL70+AL78),2)</f>
        <v>0</v>
      </c>
      <c r="AM101" s="26" t="n">
        <f aca="false">ROUND(AM94+AM77+AM88-(AM99+AM100+AM70+AM78),2)</f>
        <v>0</v>
      </c>
      <c r="AO101" s="26" t="n">
        <f aca="false">INDEX($D101:$AM101,(AO$4-annee_debut)*12+12)</f>
        <v>0</v>
      </c>
      <c r="AP101" s="26" t="n">
        <f aca="false">INDEX($D101:$AM101,(AP$4-annee_debut)*12+12)</f>
        <v>0</v>
      </c>
      <c r="AQ101" s="26" t="n">
        <f aca="false">INDEX($D101:$AM101,(AQ$4-annee_debut)*12+12)</f>
        <v>0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&amp;LExemple de démonstration, entreprise et chiffres fictifs&amp;RPréparé par Mezura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2026-10-10T20:16:11Z</dcterms:created>
  <dc:creator>Mezura</dc:creator>
  <dc:description/>
  <dc:language>fr-FR</dc:language>
  <cp:lastModifiedBy/>
  <dcterms:modified xsi:type="dcterms:W3CDTF">2026-10-10T20:16:11Z</dcterms:modified>
  <cp:revision>0</cp:revision>
  <dc:subject>Exemple de démonstration, entreprise et chiffres fictifs</dc:subject>
  <dc:title>Lavelline, business plan 2027 à 2029 (exemple de démonstration)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